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5" yWindow="915" windowWidth="7620" windowHeight="1545" firstSheet="1" activeTab="8"/>
  </bookViews>
  <sheets>
    <sheet name="ФОТ" sheetId="2" state="hidden" r:id="rId1"/>
    <sheet name="приложение 1" sheetId="4" r:id="rId2"/>
    <sheet name="приложение 2" sheetId="5" r:id="rId3"/>
    <sheet name="приложение 3" sheetId="6" state="hidden" r:id="rId4"/>
    <sheet name="приложение 4" sheetId="7" r:id="rId5"/>
    <sheet name="приложение 5" sheetId="8" state="hidden" r:id="rId6"/>
    <sheet name="приложение 6" sheetId="9" state="hidden" r:id="rId7"/>
    <sheet name="ФОТ АУП" sheetId="12" state="hidden" r:id="rId8"/>
    <sheet name="Приложение 7" sheetId="13" r:id="rId9"/>
  </sheets>
  <definedNames>
    <definedName name="_GoBack" localSheetId="8">'Приложение 7'!#REF!</definedName>
  </definedNames>
  <calcPr calcId="125725"/>
</workbook>
</file>

<file path=xl/calcChain.xml><?xml version="1.0" encoding="utf-8"?>
<calcChain xmlns="http://schemas.openxmlformats.org/spreadsheetml/2006/main">
  <c r="D15" i="7"/>
  <c r="D20" i="5"/>
  <c r="C20"/>
  <c r="D20" i="4"/>
  <c r="D22" s="1"/>
  <c r="E20"/>
  <c r="E22" s="1"/>
  <c r="E15"/>
  <c r="D15"/>
  <c r="E13"/>
  <c r="E16"/>
  <c r="E17"/>
  <c r="E18"/>
  <c r="C95" i="9"/>
  <c r="C96"/>
  <c r="D83"/>
  <c r="D80"/>
  <c r="H80"/>
  <c r="G80"/>
  <c r="F80"/>
  <c r="E80"/>
  <c r="D75"/>
  <c r="D62"/>
  <c r="I55"/>
  <c r="D45"/>
  <c r="I44"/>
  <c r="H44"/>
  <c r="G44"/>
  <c r="F44"/>
  <c r="E44"/>
  <c r="D44"/>
  <c r="I43"/>
  <c r="I84"/>
  <c r="H43"/>
  <c r="H84"/>
  <c r="G43"/>
  <c r="G84"/>
  <c r="F43"/>
  <c r="F84"/>
  <c r="E43"/>
  <c r="E84"/>
  <c r="D43"/>
  <c r="K109" i="8"/>
  <c r="F106"/>
  <c r="E106"/>
  <c r="K103"/>
  <c r="J103"/>
  <c r="I103"/>
  <c r="K99"/>
  <c r="J99"/>
  <c r="I99"/>
  <c r="H97"/>
  <c r="H96"/>
  <c r="F95"/>
  <c r="F96"/>
  <c r="E95"/>
  <c r="E96"/>
  <c r="D95"/>
  <c r="D96"/>
  <c r="H95"/>
  <c r="H94"/>
  <c r="H93"/>
  <c r="H92"/>
  <c r="K91"/>
  <c r="J91"/>
  <c r="I91"/>
  <c r="H91"/>
  <c r="K90"/>
  <c r="J90"/>
  <c r="I90"/>
  <c r="H90"/>
  <c r="H89"/>
  <c r="H88"/>
  <c r="H87"/>
  <c r="H86"/>
  <c r="K85"/>
  <c r="J85"/>
  <c r="I85"/>
  <c r="H85"/>
  <c r="H84"/>
  <c r="H83"/>
  <c r="J82"/>
  <c r="I82"/>
  <c r="H82"/>
  <c r="H81"/>
  <c r="H80"/>
  <c r="K79"/>
  <c r="J79"/>
  <c r="I79"/>
  <c r="H79"/>
  <c r="H78"/>
  <c r="H77"/>
  <c r="H76"/>
  <c r="H75"/>
  <c r="J74"/>
  <c r="I74"/>
  <c r="H74"/>
  <c r="H73"/>
  <c r="H72"/>
  <c r="H71"/>
  <c r="H70"/>
  <c r="H69"/>
  <c r="H68"/>
  <c r="H67"/>
  <c r="H66"/>
  <c r="H65"/>
  <c r="H64"/>
  <c r="H63"/>
  <c r="H62"/>
  <c r="J61"/>
  <c r="I61"/>
  <c r="H61"/>
  <c r="H60"/>
  <c r="H59"/>
  <c r="H58"/>
  <c r="H57"/>
  <c r="H56"/>
  <c r="H55"/>
  <c r="K54"/>
  <c r="J54"/>
  <c r="I54"/>
  <c r="H54"/>
  <c r="H53"/>
  <c r="H52"/>
  <c r="H51"/>
  <c r="H50"/>
  <c r="K49"/>
  <c r="K53"/>
  <c r="K42"/>
  <c r="J49"/>
  <c r="J53"/>
  <c r="I49"/>
  <c r="I53"/>
  <c r="I42"/>
  <c r="H49"/>
  <c r="H48"/>
  <c r="H47"/>
  <c r="H46"/>
  <c r="H45"/>
  <c r="J44"/>
  <c r="I44"/>
  <c r="H44"/>
  <c r="K43"/>
  <c r="J43"/>
  <c r="I43"/>
  <c r="H43"/>
  <c r="H42"/>
  <c r="H41"/>
  <c r="H40"/>
  <c r="H39"/>
  <c r="H38"/>
  <c r="H37"/>
  <c r="H36"/>
  <c r="H35"/>
  <c r="K34"/>
  <c r="K38"/>
  <c r="K33"/>
  <c r="J34"/>
  <c r="J38"/>
  <c r="J33"/>
  <c r="I34"/>
  <c r="I38"/>
  <c r="I33"/>
  <c r="H34"/>
  <c r="H33"/>
  <c r="H32"/>
  <c r="H31"/>
  <c r="H30"/>
  <c r="H29"/>
  <c r="H28"/>
  <c r="H27"/>
  <c r="H26"/>
  <c r="K25"/>
  <c r="K30"/>
  <c r="J25"/>
  <c r="J30"/>
  <c r="I25"/>
  <c r="I30"/>
  <c r="H25"/>
  <c r="H24"/>
  <c r="H23"/>
  <c r="H22"/>
  <c r="K21"/>
  <c r="K11"/>
  <c r="J21"/>
  <c r="I21"/>
  <c r="I11"/>
  <c r="H21"/>
  <c r="H20"/>
  <c r="H19"/>
  <c r="H18"/>
  <c r="H17"/>
  <c r="H16"/>
  <c r="K15"/>
  <c r="J15"/>
  <c r="I15"/>
  <c r="H15"/>
  <c r="K14"/>
  <c r="J14"/>
  <c r="I14"/>
  <c r="H14"/>
  <c r="K13"/>
  <c r="J13"/>
  <c r="I13"/>
  <c r="H13"/>
  <c r="K12"/>
  <c r="J12"/>
  <c r="I12"/>
  <c r="H12"/>
  <c r="J11"/>
  <c r="H11"/>
  <c r="H10"/>
  <c r="A15" i="7"/>
  <c r="A16" s="1"/>
  <c r="E15" i="6"/>
  <c r="E14"/>
  <c r="E13"/>
  <c r="E12"/>
  <c r="E11"/>
  <c r="E10"/>
  <c r="E16"/>
  <c r="E19" i="5"/>
  <c r="E18"/>
  <c r="E17"/>
  <c r="E16"/>
  <c r="E15"/>
  <c r="E14"/>
  <c r="E29" i="4"/>
  <c r="E28"/>
  <c r="E27"/>
  <c r="E26"/>
  <c r="E25"/>
  <c r="J9" i="8"/>
  <c r="I9"/>
  <c r="I83"/>
  <c r="I92"/>
  <c r="K9"/>
  <c r="K83"/>
  <c r="J42"/>
  <c r="D84" i="9"/>
  <c r="I84" i="8"/>
  <c r="K92"/>
  <c r="K84"/>
  <c r="D93" i="9"/>
  <c r="D95"/>
  <c r="D96"/>
  <c r="D85"/>
  <c r="F93"/>
  <c r="F95"/>
  <c r="F96"/>
  <c r="F85"/>
  <c r="H93"/>
  <c r="H95"/>
  <c r="H96"/>
  <c r="H85"/>
  <c r="E93"/>
  <c r="E95"/>
  <c r="E96"/>
  <c r="E85"/>
  <c r="G93"/>
  <c r="G95"/>
  <c r="G96"/>
  <c r="G85"/>
  <c r="I93"/>
  <c r="I95"/>
  <c r="I96"/>
  <c r="I98"/>
  <c r="I85"/>
  <c r="E13" i="5"/>
  <c r="I29" i="8"/>
  <c r="K29"/>
  <c r="I37"/>
  <c r="K37"/>
  <c r="I52"/>
  <c r="K52"/>
  <c r="J29"/>
  <c r="J37"/>
  <c r="J52"/>
  <c r="J83"/>
  <c r="K111"/>
  <c r="K105"/>
  <c r="K94"/>
  <c r="K95"/>
  <c r="I105"/>
  <c r="I94"/>
  <c r="I95"/>
  <c r="I97"/>
  <c r="J92"/>
  <c r="J84"/>
  <c r="M19" i="12"/>
  <c r="I12"/>
  <c r="I14"/>
  <c r="K14"/>
  <c r="L14"/>
  <c r="M14"/>
  <c r="I16"/>
  <c r="H11"/>
  <c r="I11"/>
  <c r="K11"/>
  <c r="L11"/>
  <c r="M11"/>
  <c r="H12"/>
  <c r="H13"/>
  <c r="H14"/>
  <c r="H15"/>
  <c r="I15"/>
  <c r="H16"/>
  <c r="H10"/>
  <c r="I10"/>
  <c r="C17"/>
  <c r="K16"/>
  <c r="L16"/>
  <c r="M16"/>
  <c r="K13"/>
  <c r="L13"/>
  <c r="M13"/>
  <c r="J105" i="8"/>
  <c r="J94"/>
  <c r="J95"/>
  <c r="K15" i="12"/>
  <c r="L15"/>
  <c r="M15"/>
  <c r="K12"/>
  <c r="L12"/>
  <c r="M12"/>
  <c r="I13"/>
  <c r="K10"/>
  <c r="K17"/>
  <c r="J97" i="8"/>
  <c r="K97"/>
  <c r="L10" i="12"/>
  <c r="M10"/>
  <c r="M17"/>
  <c r="M20"/>
  <c r="U22" i="2"/>
  <c r="P22"/>
  <c r="P23"/>
  <c r="K22"/>
  <c r="T5"/>
  <c r="T6"/>
  <c r="T7"/>
  <c r="T8"/>
  <c r="T9"/>
  <c r="T10"/>
  <c r="T11"/>
  <c r="T12"/>
  <c r="T13"/>
  <c r="T14"/>
  <c r="T15"/>
  <c r="T16"/>
  <c r="T17"/>
  <c r="T18"/>
  <c r="T19"/>
  <c r="T20"/>
  <c r="T21"/>
  <c r="O5"/>
  <c r="O6"/>
  <c r="O7"/>
  <c r="O8"/>
  <c r="O9"/>
  <c r="O10"/>
  <c r="O11"/>
  <c r="O12"/>
  <c r="O13"/>
  <c r="O14"/>
  <c r="O15"/>
  <c r="O16"/>
  <c r="O17"/>
  <c r="O18"/>
  <c r="O19"/>
  <c r="O20"/>
  <c r="O21"/>
  <c r="J5"/>
  <c r="J6"/>
  <c r="J7"/>
  <c r="J8"/>
  <c r="J9"/>
  <c r="J10"/>
  <c r="J11"/>
  <c r="J12"/>
  <c r="J13"/>
  <c r="J14"/>
  <c r="J15"/>
  <c r="J16"/>
  <c r="J17"/>
  <c r="J18"/>
  <c r="J19"/>
  <c r="J20"/>
  <c r="J21"/>
  <c r="F5"/>
  <c r="F6"/>
  <c r="F7"/>
  <c r="F8"/>
  <c r="F9"/>
  <c r="F10"/>
  <c r="F11"/>
  <c r="F12"/>
  <c r="F13"/>
  <c r="F14"/>
  <c r="F15"/>
  <c r="F16"/>
  <c r="F17"/>
  <c r="F18"/>
  <c r="F19"/>
  <c r="F20"/>
  <c r="F21"/>
  <c r="D5"/>
  <c r="D6"/>
  <c r="D7"/>
  <c r="D8"/>
  <c r="D9"/>
  <c r="D10"/>
  <c r="D11"/>
  <c r="D12"/>
  <c r="D13"/>
  <c r="D14"/>
  <c r="D15"/>
  <c r="D16"/>
  <c r="D17"/>
  <c r="D18"/>
  <c r="D19"/>
  <c r="D20"/>
  <c r="D21"/>
  <c r="A5"/>
  <c r="A6"/>
  <c r="A7"/>
  <c r="U23"/>
  <c r="E5"/>
  <c r="E6"/>
  <c r="E7"/>
  <c r="E8"/>
  <c r="E9"/>
  <c r="E10"/>
  <c r="E11"/>
  <c r="E12"/>
  <c r="E13"/>
  <c r="E14"/>
  <c r="E15"/>
  <c r="E16"/>
  <c r="E17"/>
  <c r="E18"/>
  <c r="E19"/>
  <c r="E20"/>
  <c r="E21"/>
  <c r="G4"/>
  <c r="H4"/>
  <c r="L4"/>
  <c r="G5"/>
  <c r="H5"/>
  <c r="L5"/>
  <c r="A8"/>
  <c r="G7"/>
  <c r="H7"/>
  <c r="L7"/>
  <c r="K23"/>
  <c r="M7"/>
  <c r="R7"/>
  <c r="Q7"/>
  <c r="V7"/>
  <c r="W7"/>
  <c r="M5"/>
  <c r="R5"/>
  <c r="W5"/>
  <c r="Q5"/>
  <c r="V5"/>
  <c r="G6"/>
  <c r="H6"/>
  <c r="L6"/>
  <c r="M4"/>
  <c r="Q4"/>
  <c r="V4"/>
  <c r="G8"/>
  <c r="H8"/>
  <c r="L8"/>
  <c r="A9"/>
  <c r="R4"/>
  <c r="M6"/>
  <c r="R6"/>
  <c r="Q6"/>
  <c r="V6"/>
  <c r="W6"/>
  <c r="M8"/>
  <c r="R8"/>
  <c r="W8"/>
  <c r="Q8"/>
  <c r="V8"/>
  <c r="A10"/>
  <c r="G9"/>
  <c r="H9"/>
  <c r="L9"/>
  <c r="W4"/>
  <c r="M9"/>
  <c r="R9"/>
  <c r="Q9"/>
  <c r="V9"/>
  <c r="W9"/>
  <c r="A11"/>
  <c r="G10"/>
  <c r="H10"/>
  <c r="L10"/>
  <c r="M10"/>
  <c r="R10"/>
  <c r="Q10"/>
  <c r="V10"/>
  <c r="W10"/>
  <c r="A12"/>
  <c r="G11"/>
  <c r="H11"/>
  <c r="G12"/>
  <c r="H12"/>
  <c r="L12"/>
  <c r="A13"/>
  <c r="L11"/>
  <c r="M11"/>
  <c r="Q11"/>
  <c r="V11"/>
  <c r="M12"/>
  <c r="R12"/>
  <c r="W12"/>
  <c r="Q12"/>
  <c r="V12"/>
  <c r="A14"/>
  <c r="G13"/>
  <c r="H13"/>
  <c r="L13"/>
  <c r="R11"/>
  <c r="M13"/>
  <c r="R13"/>
  <c r="W13"/>
  <c r="Q13"/>
  <c r="V13"/>
  <c r="W11"/>
  <c r="G14"/>
  <c r="H14"/>
  <c r="L14"/>
  <c r="A15"/>
  <c r="M14"/>
  <c r="R14"/>
  <c r="W14"/>
  <c r="Q14"/>
  <c r="V14"/>
  <c r="A16"/>
  <c r="G15"/>
  <c r="H15"/>
  <c r="L15"/>
  <c r="M15"/>
  <c r="R15"/>
  <c r="W15"/>
  <c r="Q15"/>
  <c r="V15"/>
  <c r="G16"/>
  <c r="H16"/>
  <c r="L16"/>
  <c r="A17"/>
  <c r="M16"/>
  <c r="R16"/>
  <c r="W16"/>
  <c r="Q16"/>
  <c r="V16"/>
  <c r="A18"/>
  <c r="G17"/>
  <c r="H17"/>
  <c r="L17"/>
  <c r="M17"/>
  <c r="R17"/>
  <c r="W17"/>
  <c r="Q17"/>
  <c r="V17"/>
  <c r="G18"/>
  <c r="H18"/>
  <c r="L18"/>
  <c r="A19"/>
  <c r="M18"/>
  <c r="R18"/>
  <c r="W18"/>
  <c r="Q18"/>
  <c r="V18"/>
  <c r="A20"/>
  <c r="G19"/>
  <c r="H19"/>
  <c r="L19"/>
  <c r="M19"/>
  <c r="R19"/>
  <c r="W19"/>
  <c r="Q19"/>
  <c r="V19"/>
  <c r="G20"/>
  <c r="H20"/>
  <c r="L20"/>
  <c r="A21"/>
  <c r="G21"/>
  <c r="H21"/>
  <c r="L21"/>
  <c r="M20"/>
  <c r="R20"/>
  <c r="W20"/>
  <c r="Q20"/>
  <c r="V20"/>
  <c r="M21"/>
  <c r="Q21"/>
  <c r="V21"/>
  <c r="R21"/>
  <c r="M22"/>
  <c r="R22"/>
  <c r="W22"/>
  <c r="W21"/>
  <c r="E20" i="5" l="1"/>
</calcChain>
</file>

<file path=xl/sharedStrings.xml><?xml version="1.0" encoding="utf-8"?>
<sst xmlns="http://schemas.openxmlformats.org/spreadsheetml/2006/main" count="545" uniqueCount="306">
  <si>
    <t>Наименование показателей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</si>
  <si>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</si>
  <si>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</si>
  <si>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</si>
  <si>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</si>
  <si>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</si>
  <si>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</si>
  <si>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</si>
  <si>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</si>
  <si>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</si>
  <si>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</si>
  <si>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</si>
  <si>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</si>
  <si>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</si>
  <si>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</si>
  <si>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</si>
  <si>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</si>
  <si>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</si>
  <si>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</si>
  <si>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</si>
  <si>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</si>
  <si>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</si>
  <si>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</si>
  <si>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</si>
  <si>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</si>
  <si>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</si>
  <si>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</si>
  <si>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</si>
  <si>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</si>
  <si>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</si>
  <si>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</si>
  <si>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</si>
  <si>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</si>
  <si>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</si>
  <si>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</si>
  <si>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</si>
  <si>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</si>
  <si>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</si>
  <si>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</si>
  <si>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</si>
  <si>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</si>
  <si>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</si>
  <si>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</si>
  <si>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</si>
  <si>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</si>
  <si>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</si>
  <si>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</si>
  <si>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</si>
  <si>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</si>
  <si>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</si>
  <si>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</si>
  <si>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</si>
  <si>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</si>
  <si>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</si>
  <si>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</si>
  <si>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</si>
  <si>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</si>
  <si>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</si>
  <si>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</si>
  <si>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</si>
  <si>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</si>
  <si>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</si>
  <si>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</si>
  <si>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</si>
  <si>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</si>
  <si>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</si>
  <si>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</si>
  <si>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</si>
  <si>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</si>
  <si>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</si>
  <si>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</si>
  <si>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</si>
  <si>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</si>
  <si>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</si>
  <si>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>3.5.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</si>
  <si>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</si>
  <si>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</si>
  <si>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</si>
  <si>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</si>
  <si>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</si>
  <si>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</si>
  <si>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</si>
  <si>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</si>
  <si>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</si>
  <si>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</si>
  <si>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на проведение технических обследований централизованных систем водоснабжения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</si>
  <si>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</si>
  <si>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</si>
  <si>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</si>
  <si>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</si>
  <si>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</si>
  <si>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</si>
  <si>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</si>
  <si>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</si>
  <si>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</si>
  <si>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</si>
  <si>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</si>
  <si>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</si>
  <si>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</si>
  <si>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</si>
  <si>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</si>
  <si>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</si>
  <si>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</si>
  <si>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</si>
  <si>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</si>
  <si>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</si>
  <si>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</si>
  <si>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</si>
  <si>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</si>
  <si>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</si>
  <si>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</si>
  <si>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</si>
  <si>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</si>
  <si>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</si>
  <si>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</si>
  <si>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</si>
  <si>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</si>
  <si>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</si>
  <si>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</si>
  <si>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</si>
  <si>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</si>
  <si>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</si>
  <si>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</si>
  <si>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</si>
  <si>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</si>
  <si>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</si>
  <si>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</si>
  <si>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</si>
  <si>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</si>
  <si>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</si>
  <si>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</si>
  <si>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</si>
  <si>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</si>
  <si>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</si>
  <si>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</si>
  <si>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</si>
  <si>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</si>
  <si>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</si>
  <si>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</si>
  <si>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</si>
  <si>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</si>
  <si>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9.1.</t>
  </si>
  <si>
    <t>9.2.</t>
  </si>
  <si>
    <t>9.3.</t>
  </si>
  <si>
    <t>9.4.</t>
  </si>
  <si>
    <t>9.5.</t>
  </si>
  <si>
    <t>1.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</si>
  <si>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</si>
  <si>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</si>
  <si>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</si>
  <si>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</si>
  <si>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</si>
  <si>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</si>
  <si>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</si>
  <si>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</si>
  <si>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</si>
  <si>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</si>
  <si>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</si>
  <si>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</si>
  <si>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</si>
  <si>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</si>
  <si>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</si>
  <si>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</si>
  <si>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</si>
  <si>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</si>
  <si>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</si>
  <si>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</si>
  <si>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</si>
  <si>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</si>
  <si>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</si>
  <si>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</si>
  <si>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>чел.</t>
  </si>
  <si>
    <t xml:space="preserve">Количество часов предоставления услуг </t>
  </si>
  <si>
    <t>час.</t>
  </si>
  <si>
    <t>км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</si>
  <si>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</si>
  <si>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</si>
  <si>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</si>
  <si>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</si>
  <si>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</si>
  <si>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</si>
  <si>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</si>
  <si>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</si>
  <si>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</si>
  <si>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</si>
  <si>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</si>
  <si>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</si>
  <si>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</si>
  <si>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</si>
  <si>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</si>
  <si>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</si>
  <si>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</si>
  <si>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</si>
  <si>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</si>
  <si>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</si>
  <si>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</si>
  <si>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</si>
  <si>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</si>
  <si>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</si>
  <si>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</si>
  <si>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</si>
  <si>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</si>
  <si>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</si>
  <si>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</si>
  <si>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</si>
  <si>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</si>
  <si>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</si>
  <si>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</si>
  <si>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</si>
  <si>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</si>
  <si>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</si>
  <si>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шт</t>
  </si>
  <si>
    <t>тыс.м3/сутки</t>
  </si>
  <si>
    <t>тыс.м3</t>
  </si>
  <si>
    <t>тыс.кВтч</t>
  </si>
  <si>
    <t>кВтч/м3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</si>
  <si>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</si>
  <si>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</si>
  <si>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</si>
  <si>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</si>
  <si>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</si>
  <si>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</si>
  <si>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</si>
  <si>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</si>
  <si>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</si>
  <si>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</si>
  <si>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</si>
  <si>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</si>
  <si>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</si>
  <si>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</si>
  <si>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</si>
  <si>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</si>
  <si>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</si>
  <si>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</si>
  <si>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>Удельный расход электроэнергии:</t>
  </si>
  <si>
    <t>кВт*ч/м3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</si>
  <si>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</si>
  <si>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</si>
  <si>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</si>
  <si>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</si>
  <si>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</si>
  <si>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</si>
  <si>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</si>
  <si>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</si>
  <si>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</si>
  <si>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</si>
  <si>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</si>
  <si>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</si>
  <si>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</si>
  <si>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</si>
  <si>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</si>
  <si>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</si>
  <si>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</si>
  <si>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</si>
  <si>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</si>
  <si>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</si>
  <si>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</si>
  <si>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 xml:space="preserve"> 2014 год</t>
  </si>
  <si>
    <t>2014 год</t>
  </si>
  <si>
    <t>Факт 2012 года</t>
  </si>
  <si>
    <t>План 2014 года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</si>
  <si>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</si>
  <si>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</si>
  <si>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</si>
  <si>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</si>
  <si>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Пропущено сточных вод всего:  в т.ч.</t>
  </si>
  <si>
    <t>7.1</t>
  </si>
  <si>
    <t>от населения</t>
  </si>
  <si>
    <t>7.2</t>
  </si>
  <si>
    <t>от собственного производства</t>
  </si>
  <si>
    <t>7.3</t>
  </si>
  <si>
    <t>от бюджетных организаций</t>
  </si>
  <si>
    <t>от прочих потребителей</t>
  </si>
  <si>
    <t>Норматив технологических  затрат электрической энергии (удельный расход электрической энергии на 1 м3 сточных вод), в т.ч.:</t>
  </si>
  <si>
    <t>2</t>
  </si>
  <si>
    <t>Численность населения, получающего услугу водоотведения</t>
  </si>
  <si>
    <t>Налоги, включаемые в себестоимость продукции</t>
  </si>
  <si>
    <t>Показатель (группы потребителей)</t>
  </si>
  <si>
    <t>Тарифы</t>
  </si>
  <si>
    <t xml:space="preserve">с 01.01.2014 по 30.06.2014 </t>
  </si>
  <si>
    <t xml:space="preserve">с 01.07.2014 по 31.12.2014 </t>
  </si>
  <si>
    <t>Прочие потребители (тарифы указываются без НДС)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</si>
  <si>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</si>
  <si>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</si>
  <si>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>Индексы  роста цен на энергетические ресурсы</t>
  </si>
  <si>
    <t>Приложение № 1 к экспертному заключению по делу № 123-13в</t>
  </si>
  <si>
    <t xml:space="preserve">общества с ограниченной ответственностью "ЗСК", 
</t>
  </si>
  <si>
    <t>(водоотведение)</t>
  </si>
  <si>
    <t>исх из анализа ПП -наиб  объем  факт2012</t>
  </si>
  <si>
    <t>транспортировка сточных вод</t>
  </si>
  <si>
    <t>на  транспортировку сточных вод</t>
  </si>
  <si>
    <t>6</t>
  </si>
  <si>
    <t>7</t>
  </si>
  <si>
    <t xml:space="preserve">9.1. </t>
  </si>
  <si>
    <t>5.1.</t>
  </si>
  <si>
    <t xml:space="preserve"> Березовский район, с. Зыково, ИНН 2404013827</t>
  </si>
  <si>
    <t xml:space="preserve">Приложение № 2 к экспертному заключению по делу № 123-13в </t>
  </si>
  <si>
    <t>в 2012 предпр не учтен расход эл.эн на освещ и отопл КНС</t>
  </si>
  <si>
    <t>Приложение № 7 к экспертному  заключению по делу 123-13-в</t>
  </si>
  <si>
    <t xml:space="preserve">Тарифы на транспортировку сточных вод для потребителей </t>
  </si>
  <si>
    <t>общества с ограниченной ответственностью "ЗСК",</t>
  </si>
  <si>
    <t>Транспортировка сточных вод</t>
  </si>
  <si>
    <t xml:space="preserve">Расходы, учтенные и неучтенные при расчете тарифа  </t>
  </si>
  <si>
    <t xml:space="preserve">на транспортировку сточных вод, </t>
  </si>
  <si>
    <t xml:space="preserve">Расход электрической энергии </t>
  </si>
  <si>
    <t>Приложение № 4 к экспертному заключению по делу № 123-13в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</si>
</sst>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2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7" fillId="0" borderId="0"/>
    <xf numFmtId="0" fontId="17" fillId="0" borderId="0"/>
    <xf numFmtId="0" fontId="8" fillId="0" borderId="0"/>
    <xf numFmtId="0" fontId="22" fillId="0" borderId="0"/>
  </cellStyleXfs>
  <cellXfs count="242">
    <xf numFmtId="0" fontId="0" fillId="0" borderId="0" xfId="0"/>
    <xf numFmtId="0" fontId="3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0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1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2" borderId="2" xfId="0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2" borderId="1" xfId="0" applyFill="1" applyBorder="1"/>
    <xf numFmtId="2" fontId="0" fillId="4" borderId="1" xfId="0" applyNumberFormat="1" applyFill="1" applyBorder="1"/>
    <xf numFmtId="0" fontId="1" fillId="3" borderId="1" xfId="0" applyFont="1" applyFill="1" applyBorder="1"/>
    <xf numFmtId="0" fontId="1" fillId="2" borderId="1" xfId="0" applyFont="1" applyFill="1" applyBorder="1"/>
    <xf numFmtId="2" fontId="1" fillId="3" borderId="1" xfId="0" applyNumberFormat="1" applyFont="1" applyFill="1" applyBorder="1"/>
    <xf numFmtId="164" fontId="1" fillId="4" borderId="4" xfId="0" applyNumberFormat="1" applyFont="1" applyFill="1" applyBorder="1"/>
    <xf numFmtId="0" fontId="0" fillId="0" borderId="12" xfId="0" applyBorder="1"/>
    <xf numFmtId="0" fontId="1" fillId="5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5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Fill="1" applyBorder="1" applyAlignment="1" applyProtection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2" fillId="0" borderId="0" xfId="0" applyFont="1" applyAlignment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wrapText="1"/>
    </xf>
    <xf numFmtId="0" fontId="14" fillId="0" borderId="1" xfId="2" applyFont="1" applyBorder="1" applyAlignment="1">
      <alignment wrapText="1"/>
    </xf>
    <xf numFmtId="164" fontId="14" fillId="0" borderId="1" xfId="0" applyNumberFormat="1" applyFont="1" applyBorder="1" applyAlignment="1">
      <alignment vertical="center" wrapText="1"/>
    </xf>
    <xf numFmtId="0" fontId="14" fillId="0" borderId="0" xfId="3" applyFont="1"/>
    <xf numFmtId="0" fontId="14" fillId="0" borderId="0" xfId="3" applyFont="1" applyAlignment="1">
      <alignment horizontal="center"/>
    </xf>
    <xf numFmtId="0" fontId="15" fillId="0" borderId="0" xfId="3" applyFont="1" applyFill="1" applyAlignment="1"/>
    <xf numFmtId="0" fontId="15" fillId="0" borderId="0" xfId="3" applyFont="1"/>
    <xf numFmtId="0" fontId="15" fillId="0" borderId="0" xfId="3" applyFont="1" applyAlignment="1">
      <alignment horizontal="center"/>
    </xf>
    <xf numFmtId="0" fontId="14" fillId="0" borderId="0" xfId="3" applyFont="1" applyAlignment="1">
      <alignment horizontal="right"/>
    </xf>
    <xf numFmtId="0" fontId="14" fillId="0" borderId="1" xfId="1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5" fillId="0" borderId="0" xfId="0" applyFont="1" applyAlignment="1"/>
    <xf numFmtId="0" fontId="12" fillId="0" borderId="10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8" fillId="0" borderId="0" xfId="4" applyAlignment="1">
      <alignment wrapText="1"/>
    </xf>
    <xf numFmtId="0" fontId="15" fillId="0" borderId="0" xfId="4" applyFont="1" applyAlignment="1">
      <alignment wrapText="1"/>
    </xf>
    <xf numFmtId="0" fontId="19" fillId="0" borderId="0" xfId="4" applyFont="1" applyAlignment="1">
      <alignment wrapText="1"/>
    </xf>
    <xf numFmtId="0" fontId="15" fillId="0" borderId="0" xfId="4" applyFont="1" applyAlignment="1">
      <alignment horizontal="right" wrapText="1"/>
    </xf>
    <xf numFmtId="0" fontId="20" fillId="0" borderId="0" xfId="4" applyFont="1" applyAlignment="1">
      <alignment wrapText="1"/>
    </xf>
    <xf numFmtId="0" fontId="14" fillId="0" borderId="1" xfId="4" applyFont="1" applyBorder="1" applyAlignment="1">
      <alignment horizontal="left" vertical="center" wrapText="1"/>
    </xf>
    <xf numFmtId="0" fontId="14" fillId="0" borderId="1" xfId="4" applyFont="1" applyBorder="1" applyAlignment="1">
      <alignment vertical="center" wrapText="1"/>
    </xf>
    <xf numFmtId="0" fontId="14" fillId="0" borderId="1" xfId="4" applyFont="1" applyFill="1" applyBorder="1" applyAlignment="1">
      <alignment horizontal="center" vertical="center" wrapText="1"/>
    </xf>
    <xf numFmtId="2" fontId="14" fillId="0" borderId="1" xfId="4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vertical="center" wrapText="1"/>
    </xf>
    <xf numFmtId="0" fontId="20" fillId="0" borderId="0" xfId="0" applyFont="1"/>
    <xf numFmtId="0" fontId="12" fillId="7" borderId="0" xfId="0" applyFont="1" applyFill="1"/>
    <xf numFmtId="0" fontId="4" fillId="0" borderId="0" xfId="0" applyFont="1"/>
    <xf numFmtId="0" fontId="21" fillId="0" borderId="2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0" xfId="0" applyFill="1"/>
    <xf numFmtId="0" fontId="1" fillId="0" borderId="0" xfId="0" applyFont="1"/>
    <xf numFmtId="0" fontId="1" fillId="7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1" xfId="4" applyNumberFormat="1" applyFont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4" fontId="4" fillId="0" borderId="18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14" fillId="0" borderId="0" xfId="3" applyNumberFormat="1" applyFont="1"/>
    <xf numFmtId="0" fontId="12" fillId="0" borderId="0" xfId="0" applyFont="1" applyAlignment="1">
      <alignment horizontal="center" wrapText="1"/>
    </xf>
    <xf numFmtId="0" fontId="14" fillId="0" borderId="1" xfId="4" applyFont="1" applyBorder="1" applyAlignment="1">
      <alignment horizontal="center" vertical="center" wrapText="1"/>
    </xf>
    <xf numFmtId="0" fontId="22" fillId="0" borderId="0" xfId="5"/>
    <xf numFmtId="0" fontId="22" fillId="0" borderId="0" xfId="5" applyAlignment="1">
      <alignment wrapText="1"/>
    </xf>
    <xf numFmtId="0" fontId="24" fillId="0" borderId="1" xfId="5" applyFont="1" applyBorder="1" applyAlignment="1">
      <alignment horizontal="center" vertical="center" wrapText="1"/>
    </xf>
    <xf numFmtId="0" fontId="24" fillId="0" borderId="1" xfId="5" applyFont="1" applyBorder="1" applyAlignment="1">
      <alignment vertical="center" wrapText="1"/>
    </xf>
    <xf numFmtId="2" fontId="24" fillId="0" borderId="1" xfId="5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65" fontId="14" fillId="0" borderId="1" xfId="4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3" applyFont="1" applyFill="1" applyAlignment="1">
      <alignment horizontal="left" vertical="center" wrapText="1"/>
    </xf>
    <xf numFmtId="0" fontId="14" fillId="0" borderId="1" xfId="3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25" fillId="0" borderId="0" xfId="4" applyFont="1" applyAlignment="1">
      <alignment horizontal="center" wrapText="1"/>
    </xf>
    <xf numFmtId="0" fontId="15" fillId="0" borderId="0" xfId="4" applyFont="1" applyAlignment="1">
      <alignment horizontal="left" wrapText="1"/>
    </xf>
    <xf numFmtId="0" fontId="15" fillId="0" borderId="0" xfId="4" applyFont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24" fillId="0" borderId="17" xfId="5" applyFont="1" applyBorder="1" applyAlignment="1">
      <alignment horizontal="center" vertical="center" wrapText="1"/>
    </xf>
    <xf numFmtId="0" fontId="24" fillId="0" borderId="18" xfId="5" applyFont="1" applyBorder="1" applyAlignment="1">
      <alignment horizontal="center" vertical="center" wrapText="1"/>
    </xf>
    <xf numFmtId="0" fontId="24" fillId="0" borderId="3" xfId="5" applyFont="1" applyBorder="1" applyAlignment="1">
      <alignment horizontal="center" vertical="center" wrapText="1"/>
    </xf>
    <xf numFmtId="0" fontId="24" fillId="0" borderId="16" xfId="5" applyFont="1" applyBorder="1" applyAlignment="1">
      <alignment horizontal="center" vertical="center" wrapText="1"/>
    </xf>
    <xf numFmtId="0" fontId="23" fillId="0" borderId="0" xfId="5" applyFont="1" applyAlignment="1">
      <alignment horizontal="justify" vertical="center" wrapText="1"/>
    </xf>
    <xf numFmtId="0" fontId="24" fillId="0" borderId="3" xfId="5" applyFont="1" applyBorder="1" applyAlignment="1">
      <alignment horizontal="left" vertical="center" wrapText="1"/>
    </xf>
    <xf numFmtId="0" fontId="24" fillId="0" borderId="33" xfId="5" applyFont="1" applyBorder="1" applyAlignment="1">
      <alignment horizontal="left" vertical="center" wrapText="1"/>
    </xf>
    <xf numFmtId="0" fontId="24" fillId="0" borderId="16" xfId="5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23" fillId="0" borderId="0" xfId="5" applyFont="1" applyAlignment="1">
      <alignment horizontal="left"/>
    </xf>
    <xf numFmtId="0" fontId="24" fillId="0" borderId="0" xfId="5" applyFont="1" applyAlignment="1">
      <alignment horizontal="center" vertical="top" wrapText="1"/>
    </xf>
  </cellXfs>
  <cellStyles count="6">
    <cellStyle name="Обычный" xfId="0" builtinId="0"/>
    <cellStyle name="Обычный 2" xfId="1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workbookViewId="0">
      <selection activeCell="W11" sqref="W11"/>
    </sheetView>
  </sheetViews>
  <sheetFormatPr defaultRowHeight="1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>
      <c r="A1" s="191" t="s">
        <v>124</v>
      </c>
      <c r="B1" s="192"/>
      <c r="C1" s="192"/>
      <c r="D1" s="192"/>
      <c r="E1" s="192"/>
      <c r="F1" s="192"/>
      <c r="G1" s="192"/>
      <c r="H1" s="192"/>
      <c r="I1" s="14"/>
      <c r="J1" s="14"/>
      <c r="K1" s="14"/>
      <c r="L1" s="14"/>
      <c r="M1" s="15"/>
    </row>
    <row r="2" spans="1:23">
      <c r="A2" s="193"/>
      <c r="B2" s="194"/>
      <c r="C2" s="194"/>
      <c r="D2" s="194"/>
      <c r="E2" s="194"/>
      <c r="F2" s="194"/>
      <c r="G2" s="194"/>
      <c r="H2" s="194"/>
      <c r="I2" s="16"/>
      <c r="J2" s="17" t="s">
        <v>125</v>
      </c>
      <c r="K2" s="18"/>
      <c r="L2" s="18"/>
      <c r="M2" s="19"/>
      <c r="O2" s="20" t="s">
        <v>126</v>
      </c>
      <c r="T2" s="17" t="s">
        <v>127</v>
      </c>
    </row>
    <row r="3" spans="1:23" ht="60">
      <c r="A3" s="21" t="s">
        <v>128</v>
      </c>
      <c r="B3" s="22" t="s">
        <v>129</v>
      </c>
      <c r="C3" s="22" t="s">
        <v>130</v>
      </c>
      <c r="D3" s="22" t="s">
        <v>131</v>
      </c>
      <c r="E3" s="22" t="s">
        <v>132</v>
      </c>
      <c r="F3" s="22" t="s">
        <v>133</v>
      </c>
      <c r="G3" s="22" t="s">
        <v>134</v>
      </c>
      <c r="H3" s="22" t="s">
        <v>135</v>
      </c>
      <c r="I3" s="16"/>
      <c r="J3" s="23" t="s">
        <v>136</v>
      </c>
      <c r="K3" s="23" t="s">
        <v>137</v>
      </c>
      <c r="L3" s="23" t="s">
        <v>138</v>
      </c>
      <c r="M3" s="24" t="s">
        <v>139</v>
      </c>
      <c r="O3" s="23" t="s">
        <v>136</v>
      </c>
      <c r="P3" s="23" t="s">
        <v>137</v>
      </c>
      <c r="Q3" s="23" t="s">
        <v>138</v>
      </c>
      <c r="R3" s="24" t="s">
        <v>139</v>
      </c>
      <c r="T3" s="23" t="s">
        <v>136</v>
      </c>
      <c r="U3" s="23" t="s">
        <v>137</v>
      </c>
      <c r="V3" s="23" t="s">
        <v>138</v>
      </c>
      <c r="W3" s="24" t="s">
        <v>139</v>
      </c>
    </row>
    <row r="4" spans="1:23">
      <c r="A4" s="25">
        <v>5040</v>
      </c>
      <c r="B4" s="26">
        <v>1</v>
      </c>
      <c r="C4" s="27">
        <v>1</v>
      </c>
      <c r="D4" s="28">
        <v>1.4</v>
      </c>
      <c r="E4" s="28">
        <v>1.1000000000000001</v>
      </c>
      <c r="F4" s="28">
        <v>1.6</v>
      </c>
      <c r="G4" s="27">
        <f>A4*C4*D4*E4*F4/1000</f>
        <v>12.418560000000001</v>
      </c>
      <c r="H4" s="29">
        <f t="shared" ref="H4:H21" si="0">G4*12</f>
        <v>149.02272000000002</v>
      </c>
      <c r="I4" s="16"/>
      <c r="J4" s="30">
        <v>1</v>
      </c>
      <c r="K4" s="31">
        <v>0</v>
      </c>
      <c r="L4" s="32">
        <f t="shared" ref="L4:L21" si="1">H4</f>
        <v>149.02272000000002</v>
      </c>
      <c r="M4" s="33">
        <f t="shared" ref="M4:M21" si="2">K4*L4</f>
        <v>0</v>
      </c>
      <c r="O4" s="30">
        <v>1</v>
      </c>
      <c r="P4" s="31">
        <v>0</v>
      </c>
      <c r="Q4" s="32">
        <f>L4</f>
        <v>149.02272000000002</v>
      </c>
      <c r="R4" s="33">
        <f t="shared" ref="R4:R21" si="3">P4*Q4</f>
        <v>0</v>
      </c>
      <c r="T4" s="30">
        <v>1</v>
      </c>
      <c r="U4" s="31">
        <v>0</v>
      </c>
      <c r="V4" s="32">
        <f>Q4</f>
        <v>149.02272000000002</v>
      </c>
      <c r="W4" s="33">
        <f t="shared" ref="W4:W21" si="4">U4*V4</f>
        <v>0</v>
      </c>
    </row>
    <row r="5" spans="1:23">
      <c r="A5" s="25">
        <f t="shared" ref="A5:A21" si="5">A4</f>
        <v>5040</v>
      </c>
      <c r="B5" s="26">
        <v>2</v>
      </c>
      <c r="C5" s="27">
        <v>1.1100000000000001</v>
      </c>
      <c r="D5" s="28">
        <f>D4</f>
        <v>1.4</v>
      </c>
      <c r="E5" s="28">
        <f>E4</f>
        <v>1.1000000000000001</v>
      </c>
      <c r="F5" s="28">
        <f>F4</f>
        <v>1.6</v>
      </c>
      <c r="G5" s="27">
        <f t="shared" ref="G5:G21" si="6">A5*C5*D5*E5*F5/1000</f>
        <v>13.784601600000002</v>
      </c>
      <c r="H5" s="29">
        <f t="shared" si="0"/>
        <v>165.41521920000002</v>
      </c>
      <c r="I5" s="16"/>
      <c r="J5" s="30">
        <f t="shared" ref="J5:J21" si="7">1+J4</f>
        <v>2</v>
      </c>
      <c r="K5" s="31">
        <v>3</v>
      </c>
      <c r="L5" s="32">
        <f t="shared" si="1"/>
        <v>165.41521920000002</v>
      </c>
      <c r="M5" s="33">
        <f t="shared" si="2"/>
        <v>496.24565760000007</v>
      </c>
      <c r="O5" s="30">
        <f t="shared" ref="O5:O21" si="8">1+O4</f>
        <v>2</v>
      </c>
      <c r="P5" s="31">
        <v>0</v>
      </c>
      <c r="Q5" s="32">
        <f t="shared" ref="Q5:Q21" si="9">L5</f>
        <v>165.41521920000002</v>
      </c>
      <c r="R5" s="33">
        <f t="shared" si="3"/>
        <v>0</v>
      </c>
      <c r="T5" s="30">
        <f t="shared" ref="T5:T21" si="10">1+T4</f>
        <v>2</v>
      </c>
      <c r="U5" s="31">
        <v>0</v>
      </c>
      <c r="V5" s="32">
        <f t="shared" ref="V5:V21" si="11">Q5</f>
        <v>165.41521920000002</v>
      </c>
      <c r="W5" s="33">
        <f t="shared" si="4"/>
        <v>0</v>
      </c>
    </row>
    <row r="6" spans="1:23">
      <c r="A6" s="25">
        <f t="shared" si="5"/>
        <v>5040</v>
      </c>
      <c r="B6" s="26">
        <v>3</v>
      </c>
      <c r="C6" s="27">
        <v>1.23</v>
      </c>
      <c r="D6" s="28">
        <f>D5</f>
        <v>1.4</v>
      </c>
      <c r="E6" s="28">
        <f t="shared" ref="E6:F21" si="12">E5</f>
        <v>1.1000000000000001</v>
      </c>
      <c r="F6" s="28">
        <f t="shared" si="12"/>
        <v>1.6</v>
      </c>
      <c r="G6" s="27">
        <f t="shared" si="6"/>
        <v>15.274828800000002</v>
      </c>
      <c r="H6" s="29">
        <f t="shared" si="0"/>
        <v>183.29794560000002</v>
      </c>
      <c r="I6" s="16"/>
      <c r="J6" s="30">
        <f t="shared" si="7"/>
        <v>3</v>
      </c>
      <c r="K6" s="31">
        <v>1</v>
      </c>
      <c r="L6" s="32">
        <f t="shared" si="1"/>
        <v>183.29794560000002</v>
      </c>
      <c r="M6" s="33">
        <f t="shared" si="2"/>
        <v>183.29794560000002</v>
      </c>
      <c r="O6" s="30">
        <f t="shared" si="8"/>
        <v>3</v>
      </c>
      <c r="P6" s="31">
        <v>2</v>
      </c>
      <c r="Q6" s="32">
        <f t="shared" si="9"/>
        <v>183.29794560000002</v>
      </c>
      <c r="R6" s="33">
        <f t="shared" si="3"/>
        <v>366.59589120000004</v>
      </c>
      <c r="T6" s="30">
        <f t="shared" si="10"/>
        <v>3</v>
      </c>
      <c r="U6" s="31">
        <v>1.5</v>
      </c>
      <c r="V6" s="32">
        <f t="shared" si="11"/>
        <v>183.29794560000002</v>
      </c>
      <c r="W6" s="33">
        <f>U6*V6/1.4</f>
        <v>196.39065600000004</v>
      </c>
    </row>
    <row r="7" spans="1:23">
      <c r="A7" s="25">
        <f t="shared" si="5"/>
        <v>5040</v>
      </c>
      <c r="B7" s="26">
        <v>4</v>
      </c>
      <c r="C7" s="27">
        <v>1.36</v>
      </c>
      <c r="D7" s="28">
        <f t="shared" ref="D7:D21" si="13">D6</f>
        <v>1.4</v>
      </c>
      <c r="E7" s="28">
        <f t="shared" si="12"/>
        <v>1.1000000000000001</v>
      </c>
      <c r="F7" s="28">
        <f t="shared" si="12"/>
        <v>1.6</v>
      </c>
      <c r="G7" s="27">
        <f t="shared" si="6"/>
        <v>16.889241600000002</v>
      </c>
      <c r="H7" s="29">
        <f t="shared" si="0"/>
        <v>202.67089920000001</v>
      </c>
      <c r="I7" s="16"/>
      <c r="J7" s="30">
        <f t="shared" si="7"/>
        <v>4</v>
      </c>
      <c r="K7" s="31">
        <v>0</v>
      </c>
      <c r="L7" s="32">
        <f t="shared" si="1"/>
        <v>202.67089920000001</v>
      </c>
      <c r="M7" s="33">
        <f t="shared" si="2"/>
        <v>0</v>
      </c>
      <c r="O7" s="30">
        <f t="shared" si="8"/>
        <v>4</v>
      </c>
      <c r="P7" s="31">
        <v>1.5</v>
      </c>
      <c r="Q7" s="32">
        <f t="shared" si="9"/>
        <v>202.67089920000001</v>
      </c>
      <c r="R7" s="33">
        <f t="shared" si="3"/>
        <v>304.00634880000001</v>
      </c>
      <c r="T7" s="30">
        <f t="shared" si="10"/>
        <v>4</v>
      </c>
      <c r="U7" s="31">
        <v>0</v>
      </c>
      <c r="V7" s="32">
        <f t="shared" si="11"/>
        <v>202.67089920000001</v>
      </c>
      <c r="W7" s="33">
        <f t="shared" si="4"/>
        <v>0</v>
      </c>
    </row>
    <row r="8" spans="1:23">
      <c r="A8" s="25">
        <f>A7</f>
        <v>5040</v>
      </c>
      <c r="B8" s="26">
        <v>5</v>
      </c>
      <c r="C8" s="27">
        <v>1.51</v>
      </c>
      <c r="D8" s="28">
        <f>D7</f>
        <v>1.4</v>
      </c>
      <c r="E8" s="28">
        <f>E7</f>
        <v>1.1000000000000001</v>
      </c>
      <c r="F8" s="28">
        <f>F7</f>
        <v>1.6</v>
      </c>
      <c r="G8" s="27">
        <f t="shared" si="6"/>
        <v>18.7520256</v>
      </c>
      <c r="H8" s="29">
        <f t="shared" si="0"/>
        <v>225.02430720000001</v>
      </c>
      <c r="I8" s="16"/>
      <c r="J8" s="30">
        <f>1+J7</f>
        <v>5</v>
      </c>
      <c r="K8" s="31">
        <v>0</v>
      </c>
      <c r="L8" s="32">
        <f t="shared" si="1"/>
        <v>225.02430720000001</v>
      </c>
      <c r="M8" s="33">
        <f t="shared" si="2"/>
        <v>0</v>
      </c>
      <c r="O8" s="30">
        <f>1+O7</f>
        <v>5</v>
      </c>
      <c r="P8" s="31">
        <v>1.5</v>
      </c>
      <c r="Q8" s="32">
        <f t="shared" si="9"/>
        <v>225.02430720000001</v>
      </c>
      <c r="R8" s="33">
        <f t="shared" si="3"/>
        <v>337.53646079999999</v>
      </c>
      <c r="T8" s="30">
        <f>1+T7</f>
        <v>5</v>
      </c>
      <c r="U8" s="31">
        <v>0</v>
      </c>
      <c r="V8" s="32">
        <f t="shared" si="11"/>
        <v>225.02430720000001</v>
      </c>
      <c r="W8" s="33">
        <f t="shared" si="4"/>
        <v>0</v>
      </c>
    </row>
    <row r="9" spans="1:23">
      <c r="A9" s="25">
        <f t="shared" si="5"/>
        <v>5040</v>
      </c>
      <c r="B9" s="26">
        <v>6</v>
      </c>
      <c r="C9" s="27">
        <v>1.67</v>
      </c>
      <c r="D9" s="28">
        <f t="shared" si="13"/>
        <v>1.4</v>
      </c>
      <c r="E9" s="28">
        <f t="shared" si="12"/>
        <v>1.1000000000000001</v>
      </c>
      <c r="F9" s="28">
        <f t="shared" si="12"/>
        <v>1.6</v>
      </c>
      <c r="G9" s="27">
        <f t="shared" si="6"/>
        <v>20.738995200000002</v>
      </c>
      <c r="H9" s="29">
        <f t="shared" si="0"/>
        <v>248.8679424</v>
      </c>
      <c r="I9" s="16"/>
      <c r="J9" s="30">
        <f t="shared" si="7"/>
        <v>6</v>
      </c>
      <c r="K9" s="31">
        <v>0</v>
      </c>
      <c r="L9" s="32">
        <f t="shared" si="1"/>
        <v>248.8679424</v>
      </c>
      <c r="M9" s="33">
        <f t="shared" si="2"/>
        <v>0</v>
      </c>
      <c r="O9" s="30">
        <f t="shared" si="8"/>
        <v>6</v>
      </c>
      <c r="P9" s="31">
        <v>0</v>
      </c>
      <c r="Q9" s="32">
        <f t="shared" si="9"/>
        <v>248.8679424</v>
      </c>
      <c r="R9" s="33">
        <f t="shared" si="3"/>
        <v>0</v>
      </c>
      <c r="T9" s="30">
        <f t="shared" si="10"/>
        <v>6</v>
      </c>
      <c r="U9" s="31">
        <v>0</v>
      </c>
      <c r="V9" s="32">
        <f t="shared" si="11"/>
        <v>248.8679424</v>
      </c>
      <c r="W9" s="33">
        <f t="shared" si="4"/>
        <v>0</v>
      </c>
    </row>
    <row r="10" spans="1:23">
      <c r="A10" s="25">
        <f t="shared" si="5"/>
        <v>5040</v>
      </c>
      <c r="B10" s="26">
        <v>7</v>
      </c>
      <c r="C10" s="27">
        <v>1.84</v>
      </c>
      <c r="D10" s="28">
        <f t="shared" si="13"/>
        <v>1.4</v>
      </c>
      <c r="E10" s="28">
        <f t="shared" si="12"/>
        <v>1.1000000000000001</v>
      </c>
      <c r="F10" s="28">
        <f t="shared" si="12"/>
        <v>1.6</v>
      </c>
      <c r="G10" s="27">
        <f t="shared" si="6"/>
        <v>22.850150400000004</v>
      </c>
      <c r="H10" s="29">
        <f t="shared" si="0"/>
        <v>274.20180480000005</v>
      </c>
      <c r="I10" s="16"/>
      <c r="J10" s="30">
        <f t="shared" si="7"/>
        <v>7</v>
      </c>
      <c r="K10" s="31">
        <v>0</v>
      </c>
      <c r="L10" s="32">
        <f t="shared" si="1"/>
        <v>274.20180480000005</v>
      </c>
      <c r="M10" s="33">
        <f t="shared" si="2"/>
        <v>0</v>
      </c>
      <c r="O10" s="30">
        <f t="shared" si="8"/>
        <v>7</v>
      </c>
      <c r="P10" s="31">
        <v>0</v>
      </c>
      <c r="Q10" s="32">
        <f t="shared" si="9"/>
        <v>274.20180480000005</v>
      </c>
      <c r="R10" s="33">
        <f t="shared" si="3"/>
        <v>0</v>
      </c>
      <c r="T10" s="30">
        <f t="shared" si="10"/>
        <v>7</v>
      </c>
      <c r="U10" s="31">
        <v>1</v>
      </c>
      <c r="V10" s="32">
        <f t="shared" si="11"/>
        <v>274.20180480000005</v>
      </c>
      <c r="W10" s="33">
        <f>U10*V10/1.4</f>
        <v>195.85843200000005</v>
      </c>
    </row>
    <row r="11" spans="1:23">
      <c r="A11" s="25">
        <f t="shared" si="5"/>
        <v>5040</v>
      </c>
      <c r="B11" s="26">
        <v>8</v>
      </c>
      <c r="C11" s="27">
        <v>2.02</v>
      </c>
      <c r="D11" s="28">
        <f t="shared" si="13"/>
        <v>1.4</v>
      </c>
      <c r="E11" s="28">
        <f t="shared" si="12"/>
        <v>1.1000000000000001</v>
      </c>
      <c r="F11" s="28">
        <f t="shared" si="12"/>
        <v>1.6</v>
      </c>
      <c r="G11" s="27">
        <f t="shared" si="6"/>
        <v>25.085491200000003</v>
      </c>
      <c r="H11" s="29">
        <f t="shared" si="0"/>
        <v>301.02589440000003</v>
      </c>
      <c r="I11" s="16"/>
      <c r="J11" s="30">
        <f t="shared" si="7"/>
        <v>8</v>
      </c>
      <c r="K11" s="31">
        <v>0</v>
      </c>
      <c r="L11" s="32">
        <f t="shared" si="1"/>
        <v>301.02589440000003</v>
      </c>
      <c r="M11" s="33">
        <f t="shared" si="2"/>
        <v>0</v>
      </c>
      <c r="O11" s="30">
        <f t="shared" si="8"/>
        <v>8</v>
      </c>
      <c r="P11" s="31">
        <v>0</v>
      </c>
      <c r="Q11" s="32">
        <f t="shared" si="9"/>
        <v>301.02589440000003</v>
      </c>
      <c r="R11" s="33">
        <f t="shared" si="3"/>
        <v>0</v>
      </c>
      <c r="T11" s="30">
        <f t="shared" si="10"/>
        <v>8</v>
      </c>
      <c r="U11" s="31">
        <v>0</v>
      </c>
      <c r="V11" s="32">
        <f t="shared" si="11"/>
        <v>301.02589440000003</v>
      </c>
      <c r="W11" s="33">
        <f t="shared" si="4"/>
        <v>0</v>
      </c>
    </row>
    <row r="12" spans="1:23">
      <c r="A12" s="25">
        <f t="shared" si="5"/>
        <v>5040</v>
      </c>
      <c r="B12" s="26">
        <v>9</v>
      </c>
      <c r="C12" s="27">
        <v>2.2200000000000002</v>
      </c>
      <c r="D12" s="28">
        <f t="shared" si="13"/>
        <v>1.4</v>
      </c>
      <c r="E12" s="28">
        <f t="shared" si="12"/>
        <v>1.1000000000000001</v>
      </c>
      <c r="F12" s="28">
        <f t="shared" si="12"/>
        <v>1.6</v>
      </c>
      <c r="G12" s="27">
        <f t="shared" si="6"/>
        <v>27.569203200000004</v>
      </c>
      <c r="H12" s="29">
        <f t="shared" si="0"/>
        <v>330.83043840000005</v>
      </c>
      <c r="I12" s="16"/>
      <c r="J12" s="30">
        <f t="shared" si="7"/>
        <v>9</v>
      </c>
      <c r="K12" s="31">
        <v>0</v>
      </c>
      <c r="L12" s="32">
        <f t="shared" si="1"/>
        <v>330.83043840000005</v>
      </c>
      <c r="M12" s="33">
        <f t="shared" si="2"/>
        <v>0</v>
      </c>
      <c r="O12" s="30">
        <f t="shared" si="8"/>
        <v>9</v>
      </c>
      <c r="P12" s="31">
        <v>0</v>
      </c>
      <c r="Q12" s="32">
        <f t="shared" si="9"/>
        <v>330.83043840000005</v>
      </c>
      <c r="R12" s="33">
        <f t="shared" si="3"/>
        <v>0</v>
      </c>
      <c r="T12" s="30">
        <f t="shared" si="10"/>
        <v>9</v>
      </c>
      <c r="U12" s="31">
        <v>0</v>
      </c>
      <c r="V12" s="32">
        <f t="shared" si="11"/>
        <v>330.83043840000005</v>
      </c>
      <c r="W12" s="33">
        <f t="shared" si="4"/>
        <v>0</v>
      </c>
    </row>
    <row r="13" spans="1:23">
      <c r="A13" s="25">
        <f>A12</f>
        <v>5040</v>
      </c>
      <c r="B13" s="26">
        <v>10</v>
      </c>
      <c r="C13" s="27">
        <v>2.44</v>
      </c>
      <c r="D13" s="28">
        <f>D12</f>
        <v>1.4</v>
      </c>
      <c r="E13" s="28">
        <f>E12</f>
        <v>1.1000000000000001</v>
      </c>
      <c r="F13" s="28">
        <f>F12</f>
        <v>1.6</v>
      </c>
      <c r="G13" s="27">
        <f t="shared" si="6"/>
        <v>30.301286400000002</v>
      </c>
      <c r="H13" s="29">
        <f t="shared" si="0"/>
        <v>363.6154368</v>
      </c>
      <c r="I13" s="16"/>
      <c r="J13" s="30">
        <f>1+J12</f>
        <v>10</v>
      </c>
      <c r="K13" s="31">
        <v>0</v>
      </c>
      <c r="L13" s="32">
        <f t="shared" si="1"/>
        <v>363.6154368</v>
      </c>
      <c r="M13" s="33">
        <f t="shared" si="2"/>
        <v>0</v>
      </c>
      <c r="O13" s="30">
        <f>1+O12</f>
        <v>10</v>
      </c>
      <c r="P13" s="31">
        <v>0</v>
      </c>
      <c r="Q13" s="32">
        <f t="shared" si="9"/>
        <v>363.6154368</v>
      </c>
      <c r="R13" s="33">
        <f t="shared" si="3"/>
        <v>0</v>
      </c>
      <c r="T13" s="30">
        <f>1+T12</f>
        <v>10</v>
      </c>
      <c r="U13" s="31">
        <v>0</v>
      </c>
      <c r="V13" s="32">
        <f t="shared" si="11"/>
        <v>363.6154368</v>
      </c>
      <c r="W13" s="33">
        <f t="shared" si="4"/>
        <v>0</v>
      </c>
    </row>
    <row r="14" spans="1:23">
      <c r="A14" s="25">
        <f t="shared" si="5"/>
        <v>5040</v>
      </c>
      <c r="B14" s="26">
        <v>11</v>
      </c>
      <c r="C14" s="27">
        <v>2.68</v>
      </c>
      <c r="D14" s="28">
        <f t="shared" si="13"/>
        <v>1.4</v>
      </c>
      <c r="E14" s="28">
        <f t="shared" si="12"/>
        <v>1.1000000000000001</v>
      </c>
      <c r="F14" s="28">
        <f t="shared" si="12"/>
        <v>1.6</v>
      </c>
      <c r="G14" s="27">
        <f t="shared" si="6"/>
        <v>33.281740800000001</v>
      </c>
      <c r="H14" s="29">
        <f t="shared" si="0"/>
        <v>399.38088960000005</v>
      </c>
      <c r="I14" s="16"/>
      <c r="J14" s="30">
        <f t="shared" si="7"/>
        <v>11</v>
      </c>
      <c r="K14" s="31">
        <v>0</v>
      </c>
      <c r="L14" s="32">
        <f t="shared" si="1"/>
        <v>399.38088960000005</v>
      </c>
      <c r="M14" s="33">
        <f t="shared" si="2"/>
        <v>0</v>
      </c>
      <c r="O14" s="30">
        <f t="shared" si="8"/>
        <v>11</v>
      </c>
      <c r="P14" s="31">
        <v>0</v>
      </c>
      <c r="Q14" s="32">
        <f t="shared" si="9"/>
        <v>399.38088960000005</v>
      </c>
      <c r="R14" s="33">
        <f t="shared" si="3"/>
        <v>0</v>
      </c>
      <c r="T14" s="30">
        <f t="shared" si="10"/>
        <v>11</v>
      </c>
      <c r="U14" s="31">
        <v>0</v>
      </c>
      <c r="V14" s="32">
        <f t="shared" si="11"/>
        <v>399.38088960000005</v>
      </c>
      <c r="W14" s="33">
        <f t="shared" si="4"/>
        <v>0</v>
      </c>
    </row>
    <row r="15" spans="1:23">
      <c r="A15" s="25">
        <f t="shared" si="5"/>
        <v>5040</v>
      </c>
      <c r="B15" s="26">
        <v>12</v>
      </c>
      <c r="C15" s="27">
        <v>2.89</v>
      </c>
      <c r="D15" s="28">
        <f t="shared" si="13"/>
        <v>1.4</v>
      </c>
      <c r="E15" s="28">
        <f t="shared" si="12"/>
        <v>1.1000000000000001</v>
      </c>
      <c r="F15" s="28">
        <f t="shared" si="12"/>
        <v>1.6</v>
      </c>
      <c r="G15" s="27">
        <f t="shared" si="6"/>
        <v>35.889638400000003</v>
      </c>
      <c r="H15" s="29">
        <f t="shared" si="0"/>
        <v>430.67566080000006</v>
      </c>
      <c r="I15" s="16"/>
      <c r="J15" s="30">
        <f t="shared" si="7"/>
        <v>12</v>
      </c>
      <c r="K15" s="31">
        <v>0</v>
      </c>
      <c r="L15" s="32">
        <f t="shared" si="1"/>
        <v>430.67566080000006</v>
      </c>
      <c r="M15" s="33">
        <f t="shared" si="2"/>
        <v>0</v>
      </c>
      <c r="O15" s="30">
        <f t="shared" si="8"/>
        <v>12</v>
      </c>
      <c r="P15" s="31">
        <v>0</v>
      </c>
      <c r="Q15" s="32">
        <f t="shared" si="9"/>
        <v>430.67566080000006</v>
      </c>
      <c r="R15" s="33">
        <f t="shared" si="3"/>
        <v>0</v>
      </c>
      <c r="T15" s="30">
        <f t="shared" si="10"/>
        <v>12</v>
      </c>
      <c r="U15" s="31">
        <v>0</v>
      </c>
      <c r="V15" s="32">
        <f t="shared" si="11"/>
        <v>430.67566080000006</v>
      </c>
      <c r="W15" s="33">
        <f t="shared" si="4"/>
        <v>0</v>
      </c>
    </row>
    <row r="16" spans="1:23">
      <c r="A16" s="25">
        <f t="shared" si="5"/>
        <v>5040</v>
      </c>
      <c r="B16" s="26">
        <v>13</v>
      </c>
      <c r="C16" s="27">
        <v>3.12</v>
      </c>
      <c r="D16" s="28">
        <f t="shared" si="13"/>
        <v>1.4</v>
      </c>
      <c r="E16" s="28">
        <f t="shared" si="12"/>
        <v>1.1000000000000001</v>
      </c>
      <c r="F16" s="28">
        <f t="shared" si="12"/>
        <v>1.6</v>
      </c>
      <c r="G16" s="27">
        <f t="shared" si="6"/>
        <v>38.745907200000012</v>
      </c>
      <c r="H16" s="29">
        <f t="shared" si="0"/>
        <v>464.95088640000017</v>
      </c>
      <c r="I16" s="16"/>
      <c r="J16" s="30">
        <f t="shared" si="7"/>
        <v>13</v>
      </c>
      <c r="K16" s="31">
        <v>0</v>
      </c>
      <c r="L16" s="32">
        <f t="shared" si="1"/>
        <v>464.95088640000017</v>
      </c>
      <c r="M16" s="33">
        <f t="shared" si="2"/>
        <v>0</v>
      </c>
      <c r="O16" s="30">
        <f t="shared" si="8"/>
        <v>13</v>
      </c>
      <c r="P16" s="31">
        <v>0</v>
      </c>
      <c r="Q16" s="32">
        <f t="shared" si="9"/>
        <v>464.95088640000017</v>
      </c>
      <c r="R16" s="33">
        <f t="shared" si="3"/>
        <v>0</v>
      </c>
      <c r="T16" s="30">
        <f t="shared" si="10"/>
        <v>13</v>
      </c>
      <c r="U16" s="31">
        <v>0</v>
      </c>
      <c r="V16" s="32">
        <f t="shared" si="11"/>
        <v>464.95088640000017</v>
      </c>
      <c r="W16" s="33">
        <f t="shared" si="4"/>
        <v>0</v>
      </c>
    </row>
    <row r="17" spans="1:23">
      <c r="A17" s="25">
        <f t="shared" si="5"/>
        <v>5040</v>
      </c>
      <c r="B17" s="26">
        <v>14</v>
      </c>
      <c r="C17" s="27">
        <v>3.36</v>
      </c>
      <c r="D17" s="28">
        <f t="shared" si="13"/>
        <v>1.4</v>
      </c>
      <c r="E17" s="28">
        <f t="shared" si="12"/>
        <v>1.1000000000000001</v>
      </c>
      <c r="F17" s="28">
        <f t="shared" si="12"/>
        <v>1.6</v>
      </c>
      <c r="G17" s="27">
        <f t="shared" si="6"/>
        <v>41.726361600000004</v>
      </c>
      <c r="H17" s="29">
        <f t="shared" si="0"/>
        <v>500.71633920000005</v>
      </c>
      <c r="I17" s="16"/>
      <c r="J17" s="30">
        <f t="shared" si="7"/>
        <v>14</v>
      </c>
      <c r="K17" s="31">
        <v>0</v>
      </c>
      <c r="L17" s="32">
        <f t="shared" si="1"/>
        <v>500.71633920000005</v>
      </c>
      <c r="M17" s="33">
        <f t="shared" si="2"/>
        <v>0</v>
      </c>
      <c r="O17" s="30">
        <f t="shared" si="8"/>
        <v>14</v>
      </c>
      <c r="P17" s="31">
        <v>0</v>
      </c>
      <c r="Q17" s="32">
        <f t="shared" si="9"/>
        <v>500.71633920000005</v>
      </c>
      <c r="R17" s="33">
        <f t="shared" si="3"/>
        <v>0</v>
      </c>
      <c r="T17" s="30">
        <f t="shared" si="10"/>
        <v>14</v>
      </c>
      <c r="U17" s="31">
        <v>0</v>
      </c>
      <c r="V17" s="32">
        <f t="shared" si="11"/>
        <v>500.71633920000005</v>
      </c>
      <c r="W17" s="33">
        <f t="shared" si="4"/>
        <v>0</v>
      </c>
    </row>
    <row r="18" spans="1:23">
      <c r="A18" s="25">
        <f t="shared" si="5"/>
        <v>5040</v>
      </c>
      <c r="B18" s="26">
        <v>15</v>
      </c>
      <c r="C18" s="27">
        <v>3.62</v>
      </c>
      <c r="D18" s="28">
        <f t="shared" si="13"/>
        <v>1.4</v>
      </c>
      <c r="E18" s="28">
        <f t="shared" si="12"/>
        <v>1.1000000000000001</v>
      </c>
      <c r="F18" s="28">
        <f t="shared" si="12"/>
        <v>1.6</v>
      </c>
      <c r="G18" s="27">
        <f t="shared" si="6"/>
        <v>44.955187199999997</v>
      </c>
      <c r="H18" s="29">
        <f t="shared" si="0"/>
        <v>539.46224639999991</v>
      </c>
      <c r="I18" s="16"/>
      <c r="J18" s="30">
        <f t="shared" si="7"/>
        <v>15</v>
      </c>
      <c r="K18" s="31">
        <v>0</v>
      </c>
      <c r="L18" s="32">
        <f t="shared" si="1"/>
        <v>539.46224639999991</v>
      </c>
      <c r="M18" s="33">
        <f t="shared" si="2"/>
        <v>0</v>
      </c>
      <c r="O18" s="30">
        <f t="shared" si="8"/>
        <v>15</v>
      </c>
      <c r="P18" s="31">
        <v>0</v>
      </c>
      <c r="Q18" s="32">
        <f t="shared" si="9"/>
        <v>539.46224639999991</v>
      </c>
      <c r="R18" s="33">
        <f t="shared" si="3"/>
        <v>0</v>
      </c>
      <c r="T18" s="30">
        <f t="shared" si="10"/>
        <v>15</v>
      </c>
      <c r="U18" s="31">
        <v>0</v>
      </c>
      <c r="V18" s="32">
        <f t="shared" si="11"/>
        <v>539.46224639999991</v>
      </c>
      <c r="W18" s="33">
        <f t="shared" si="4"/>
        <v>0</v>
      </c>
    </row>
    <row r="19" spans="1:23">
      <c r="A19" s="25">
        <f t="shared" si="5"/>
        <v>5040</v>
      </c>
      <c r="B19" s="26">
        <v>16</v>
      </c>
      <c r="C19" s="27">
        <v>3.9</v>
      </c>
      <c r="D19" s="28">
        <f t="shared" si="13"/>
        <v>1.4</v>
      </c>
      <c r="E19" s="28">
        <f t="shared" si="12"/>
        <v>1.1000000000000001</v>
      </c>
      <c r="F19" s="28">
        <f t="shared" si="12"/>
        <v>1.6</v>
      </c>
      <c r="G19" s="27">
        <f t="shared" si="6"/>
        <v>48.432384000000006</v>
      </c>
      <c r="H19" s="29">
        <f t="shared" si="0"/>
        <v>581.18860800000004</v>
      </c>
      <c r="I19" s="16"/>
      <c r="J19" s="30">
        <f t="shared" si="7"/>
        <v>16</v>
      </c>
      <c r="K19" s="31">
        <v>0</v>
      </c>
      <c r="L19" s="32">
        <f t="shared" si="1"/>
        <v>581.18860800000004</v>
      </c>
      <c r="M19" s="33">
        <f t="shared" si="2"/>
        <v>0</v>
      </c>
      <c r="O19" s="30">
        <f t="shared" si="8"/>
        <v>16</v>
      </c>
      <c r="P19" s="31">
        <v>0</v>
      </c>
      <c r="Q19" s="32">
        <f t="shared" si="9"/>
        <v>581.18860800000004</v>
      </c>
      <c r="R19" s="33">
        <f t="shared" si="3"/>
        <v>0</v>
      </c>
      <c r="T19" s="30">
        <f t="shared" si="10"/>
        <v>16</v>
      </c>
      <c r="U19" s="31">
        <v>0</v>
      </c>
      <c r="V19" s="32">
        <f t="shared" si="11"/>
        <v>581.18860800000004</v>
      </c>
      <c r="W19" s="33">
        <f t="shared" si="4"/>
        <v>0</v>
      </c>
    </row>
    <row r="20" spans="1:23">
      <c r="A20" s="25">
        <f t="shared" si="5"/>
        <v>5040</v>
      </c>
      <c r="B20" s="26">
        <v>17</v>
      </c>
      <c r="C20" s="27">
        <v>4.2</v>
      </c>
      <c r="D20" s="28">
        <f t="shared" si="13"/>
        <v>1.4</v>
      </c>
      <c r="E20" s="28">
        <f t="shared" si="12"/>
        <v>1.1000000000000001</v>
      </c>
      <c r="F20" s="28">
        <f t="shared" si="12"/>
        <v>1.6</v>
      </c>
      <c r="G20" s="27">
        <f t="shared" si="6"/>
        <v>52.157952000000002</v>
      </c>
      <c r="H20" s="29">
        <f t="shared" si="0"/>
        <v>625.89542400000005</v>
      </c>
      <c r="I20" s="16"/>
      <c r="J20" s="30">
        <f t="shared" si="7"/>
        <v>17</v>
      </c>
      <c r="K20" s="31">
        <v>0</v>
      </c>
      <c r="L20" s="32">
        <f t="shared" si="1"/>
        <v>625.89542400000005</v>
      </c>
      <c r="M20" s="33">
        <f t="shared" si="2"/>
        <v>0</v>
      </c>
      <c r="O20" s="30">
        <f t="shared" si="8"/>
        <v>17</v>
      </c>
      <c r="P20" s="31">
        <v>0</v>
      </c>
      <c r="Q20" s="32">
        <f t="shared" si="9"/>
        <v>625.89542400000005</v>
      </c>
      <c r="R20" s="33">
        <f t="shared" si="3"/>
        <v>0</v>
      </c>
      <c r="T20" s="30">
        <f t="shared" si="10"/>
        <v>17</v>
      </c>
      <c r="U20" s="31">
        <v>0</v>
      </c>
      <c r="V20" s="32">
        <f t="shared" si="11"/>
        <v>625.89542400000005</v>
      </c>
      <c r="W20" s="33">
        <f t="shared" si="4"/>
        <v>0</v>
      </c>
    </row>
    <row r="21" spans="1:23">
      <c r="A21" s="25">
        <f t="shared" si="5"/>
        <v>5040</v>
      </c>
      <c r="B21" s="26">
        <v>18</v>
      </c>
      <c r="C21" s="27">
        <v>4.5</v>
      </c>
      <c r="D21" s="28">
        <f t="shared" si="13"/>
        <v>1.4</v>
      </c>
      <c r="E21" s="28">
        <f t="shared" si="12"/>
        <v>1.1000000000000001</v>
      </c>
      <c r="F21" s="28">
        <f t="shared" si="12"/>
        <v>1.6</v>
      </c>
      <c r="G21" s="27">
        <f t="shared" si="6"/>
        <v>55.883519999999997</v>
      </c>
      <c r="H21" s="29">
        <f t="shared" si="0"/>
        <v>670.60223999999994</v>
      </c>
      <c r="I21" s="16"/>
      <c r="J21" s="30">
        <f t="shared" si="7"/>
        <v>18</v>
      </c>
      <c r="K21" s="31">
        <v>0</v>
      </c>
      <c r="L21" s="32">
        <f t="shared" si="1"/>
        <v>670.60223999999994</v>
      </c>
      <c r="M21" s="33">
        <f t="shared" si="2"/>
        <v>0</v>
      </c>
      <c r="O21" s="30">
        <f t="shared" si="8"/>
        <v>18</v>
      </c>
      <c r="P21" s="31">
        <v>0</v>
      </c>
      <c r="Q21" s="32">
        <f t="shared" si="9"/>
        <v>670.60223999999994</v>
      </c>
      <c r="R21" s="33">
        <f t="shared" si="3"/>
        <v>0</v>
      </c>
      <c r="T21" s="30">
        <f t="shared" si="10"/>
        <v>18</v>
      </c>
      <c r="U21" s="31">
        <v>0</v>
      </c>
      <c r="V21" s="32">
        <f t="shared" si="11"/>
        <v>670.60223999999994</v>
      </c>
      <c r="W21" s="33">
        <f t="shared" si="4"/>
        <v>0</v>
      </c>
    </row>
    <row r="22" spans="1:23">
      <c r="A22" s="34"/>
      <c r="B22" s="16"/>
      <c r="C22" s="16"/>
      <c r="D22" s="16"/>
      <c r="E22" s="16"/>
      <c r="F22" s="16"/>
      <c r="G22" s="16"/>
      <c r="H22" s="16"/>
      <c r="I22" s="16"/>
      <c r="J22" s="18"/>
      <c r="K22" s="35">
        <f>SUM(K4:K21)</f>
        <v>4</v>
      </c>
      <c r="L22" s="18"/>
      <c r="M22" s="33">
        <f>SUM(M4:M21)</f>
        <v>679.54360320000012</v>
      </c>
      <c r="O22" s="18"/>
      <c r="P22" s="35">
        <f>SUM(P4:P21)</f>
        <v>5</v>
      </c>
      <c r="Q22" s="18"/>
      <c r="R22" s="33">
        <f>SUM(R4:R21)</f>
        <v>1008.1387008</v>
      </c>
      <c r="T22" s="18"/>
      <c r="U22" s="35">
        <f>SUM(U4:U21)</f>
        <v>2.5</v>
      </c>
      <c r="V22" s="18"/>
      <c r="W22" s="33">
        <f>SUM(W4:W21)</f>
        <v>392.24908800000009</v>
      </c>
    </row>
    <row r="23" spans="1:23" ht="15.75" thickBot="1">
      <c r="A23" s="36"/>
      <c r="B23" s="37"/>
      <c r="C23" s="37"/>
      <c r="D23" s="37"/>
      <c r="E23" s="37"/>
      <c r="F23" s="37"/>
      <c r="G23" s="37"/>
      <c r="H23" s="37"/>
      <c r="I23" s="37"/>
      <c r="J23" s="38"/>
      <c r="K23" s="39">
        <f>IF(K22=0,0, (J4*K4+J5*K5+J6*K6+J7*K7+J8*K8+J9*K9+J10*K10+J11*K11+J12*K12+J13*K13+J14*K14+J15*K15+J16*K16+J17*K17+J18*K18+J19*K19+J20*K20+J21*K21)/K22)</f>
        <v>2.25</v>
      </c>
      <c r="L23" s="38"/>
      <c r="M23" s="40"/>
      <c r="O23" s="38"/>
      <c r="P23" s="39">
        <f>IF(P22=0,0, (O4*P4+O5*P5+O6*P6+O7*P7+O8*P8+O9*P9+O10*P10+O11*P11+O12*P12+O13*P13+O14*P14+O15*P15+O16*P16+O17*P17+O18*P18+O19*P19+O20*P20+O21*P21)/P22)</f>
        <v>3.9</v>
      </c>
      <c r="Q23" s="38"/>
      <c r="R23" s="40"/>
      <c r="T23" s="38"/>
      <c r="U23" s="39">
        <f>IF(U22=0,0, (T4*U4+T5*U5+T6*U6+T7*U7+T8*U8+T9*U9+T10*U10+T11*U11+T12*U12+T13*U13+T14*U14+T15*U15+T16*U16+T17*U17+T18*U18+T19*U19+T20*U20+T21*U21)/U22)</f>
        <v>4.5999999999999996</v>
      </c>
      <c r="V23" s="38"/>
      <c r="W23" s="40"/>
    </row>
    <row r="25" spans="1:23">
      <c r="J25" s="41"/>
      <c r="K25" s="41"/>
    </row>
    <row r="27" spans="1:23">
      <c r="C27" s="42"/>
      <c r="D27" s="42"/>
      <c r="E27" s="42"/>
      <c r="F27" s="42"/>
      <c r="G27" s="42"/>
      <c r="H27" s="42"/>
      <c r="I27" s="42"/>
    </row>
    <row r="28" spans="1:23">
      <c r="A28" s="42"/>
      <c r="B28" s="42"/>
      <c r="C28" s="42"/>
      <c r="D28" s="42"/>
      <c r="E28" s="42"/>
      <c r="F28" s="42"/>
      <c r="G28" s="42"/>
      <c r="H28" s="42"/>
      <c r="I28" s="42"/>
    </row>
    <row r="29" spans="1:23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23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23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23">
      <c r="J32" s="42"/>
    </row>
    <row r="33" spans="1:10">
      <c r="J33" s="42"/>
    </row>
    <row r="34" spans="1:10">
      <c r="J34" s="42"/>
    </row>
    <row r="35" spans="1:10">
      <c r="J35" s="42"/>
    </row>
    <row r="36" spans="1:10">
      <c r="J36" s="42"/>
    </row>
    <row r="37" spans="1:10">
      <c r="J37" s="42"/>
    </row>
    <row r="38" spans="1:10">
      <c r="J38" s="42"/>
    </row>
    <row r="39" spans="1:10">
      <c r="J39" s="42"/>
    </row>
    <row r="40" spans="1:10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>
      <c r="A42" s="42"/>
      <c r="B42" s="42"/>
      <c r="C42" s="42"/>
      <c r="D42" s="42"/>
      <c r="E42" s="42"/>
      <c r="F42" s="42"/>
      <c r="G42" s="42"/>
      <c r="H42" s="42"/>
      <c r="I42" s="42"/>
      <c r="J42" s="42"/>
    </row>
  </sheetData>
  <mergeCells count="1">
    <mergeCell ref="A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Normal="100" workbookViewId="0">
      <selection activeCell="C21" sqref="C21"/>
    </sheetView>
  </sheetViews>
  <sheetFormatPr defaultColWidth="39.85546875" defaultRowHeight="15.75" outlineLevelRow="1"/>
  <cols>
    <col min="1" max="1" width="6.140625" style="75" customWidth="1"/>
    <col min="2" max="2" width="36.5703125" style="75" customWidth="1"/>
    <col min="3" max="3" width="14" style="75" customWidth="1"/>
    <col min="4" max="4" width="14.42578125" style="75" customWidth="1"/>
    <col min="5" max="5" width="15" style="75" customWidth="1"/>
    <col min="6" max="6" width="12.140625" style="75" customWidth="1"/>
    <col min="7" max="7" width="13.42578125" style="75" customWidth="1"/>
    <col min="8" max="8" width="12" style="75" customWidth="1"/>
    <col min="9" max="256" width="39.85546875" style="75"/>
    <col min="257" max="257" width="6.140625" style="75" customWidth="1"/>
    <col min="258" max="258" width="36.5703125" style="75" customWidth="1"/>
    <col min="259" max="259" width="14" style="75" customWidth="1"/>
    <col min="260" max="260" width="14.42578125" style="75" customWidth="1"/>
    <col min="261" max="261" width="15" style="75" customWidth="1"/>
    <col min="262" max="512" width="39.85546875" style="75"/>
    <col min="513" max="513" width="6.140625" style="75" customWidth="1"/>
    <col min="514" max="514" width="36.5703125" style="75" customWidth="1"/>
    <col min="515" max="515" width="14" style="75" customWidth="1"/>
    <col min="516" max="516" width="14.42578125" style="75" customWidth="1"/>
    <col min="517" max="517" width="15" style="75" customWidth="1"/>
    <col min="518" max="768" width="39.85546875" style="75"/>
    <col min="769" max="769" width="6.140625" style="75" customWidth="1"/>
    <col min="770" max="770" width="36.5703125" style="75" customWidth="1"/>
    <col min="771" max="771" width="14" style="75" customWidth="1"/>
    <col min="772" max="772" width="14.42578125" style="75" customWidth="1"/>
    <col min="773" max="773" width="15" style="75" customWidth="1"/>
    <col min="774" max="1024" width="39.85546875" style="75"/>
    <col min="1025" max="1025" width="6.140625" style="75" customWidth="1"/>
    <col min="1026" max="1026" width="36.5703125" style="75" customWidth="1"/>
    <col min="1027" max="1027" width="14" style="75" customWidth="1"/>
    <col min="1028" max="1028" width="14.42578125" style="75" customWidth="1"/>
    <col min="1029" max="1029" width="15" style="75" customWidth="1"/>
    <col min="1030" max="1280" width="39.85546875" style="75"/>
    <col min="1281" max="1281" width="6.140625" style="75" customWidth="1"/>
    <col min="1282" max="1282" width="36.5703125" style="75" customWidth="1"/>
    <col min="1283" max="1283" width="14" style="75" customWidth="1"/>
    <col min="1284" max="1284" width="14.42578125" style="75" customWidth="1"/>
    <col min="1285" max="1285" width="15" style="75" customWidth="1"/>
    <col min="1286" max="1536" width="39.85546875" style="75"/>
    <col min="1537" max="1537" width="6.140625" style="75" customWidth="1"/>
    <col min="1538" max="1538" width="36.5703125" style="75" customWidth="1"/>
    <col min="1539" max="1539" width="14" style="75" customWidth="1"/>
    <col min="1540" max="1540" width="14.42578125" style="75" customWidth="1"/>
    <col min="1541" max="1541" width="15" style="75" customWidth="1"/>
    <col min="1542" max="1792" width="39.85546875" style="75"/>
    <col min="1793" max="1793" width="6.140625" style="75" customWidth="1"/>
    <col min="1794" max="1794" width="36.5703125" style="75" customWidth="1"/>
    <col min="1795" max="1795" width="14" style="75" customWidth="1"/>
    <col min="1796" max="1796" width="14.42578125" style="75" customWidth="1"/>
    <col min="1797" max="1797" width="15" style="75" customWidth="1"/>
    <col min="1798" max="2048" width="39.85546875" style="75"/>
    <col min="2049" max="2049" width="6.140625" style="75" customWidth="1"/>
    <col min="2050" max="2050" width="36.5703125" style="75" customWidth="1"/>
    <col min="2051" max="2051" width="14" style="75" customWidth="1"/>
    <col min="2052" max="2052" width="14.42578125" style="75" customWidth="1"/>
    <col min="2053" max="2053" width="15" style="75" customWidth="1"/>
    <col min="2054" max="2304" width="39.85546875" style="75"/>
    <col min="2305" max="2305" width="6.140625" style="75" customWidth="1"/>
    <col min="2306" max="2306" width="36.5703125" style="75" customWidth="1"/>
    <col min="2307" max="2307" width="14" style="75" customWidth="1"/>
    <col min="2308" max="2308" width="14.42578125" style="75" customWidth="1"/>
    <col min="2309" max="2309" width="15" style="75" customWidth="1"/>
    <col min="2310" max="2560" width="39.85546875" style="75"/>
    <col min="2561" max="2561" width="6.140625" style="75" customWidth="1"/>
    <col min="2562" max="2562" width="36.5703125" style="75" customWidth="1"/>
    <col min="2563" max="2563" width="14" style="75" customWidth="1"/>
    <col min="2564" max="2564" width="14.42578125" style="75" customWidth="1"/>
    <col min="2565" max="2565" width="15" style="75" customWidth="1"/>
    <col min="2566" max="2816" width="39.85546875" style="75"/>
    <col min="2817" max="2817" width="6.140625" style="75" customWidth="1"/>
    <col min="2818" max="2818" width="36.5703125" style="75" customWidth="1"/>
    <col min="2819" max="2819" width="14" style="75" customWidth="1"/>
    <col min="2820" max="2820" width="14.42578125" style="75" customWidth="1"/>
    <col min="2821" max="2821" width="15" style="75" customWidth="1"/>
    <col min="2822" max="3072" width="39.85546875" style="75"/>
    <col min="3073" max="3073" width="6.140625" style="75" customWidth="1"/>
    <col min="3074" max="3074" width="36.5703125" style="75" customWidth="1"/>
    <col min="3075" max="3075" width="14" style="75" customWidth="1"/>
    <col min="3076" max="3076" width="14.42578125" style="75" customWidth="1"/>
    <col min="3077" max="3077" width="15" style="75" customWidth="1"/>
    <col min="3078" max="3328" width="39.85546875" style="75"/>
    <col min="3329" max="3329" width="6.140625" style="75" customWidth="1"/>
    <col min="3330" max="3330" width="36.5703125" style="75" customWidth="1"/>
    <col min="3331" max="3331" width="14" style="75" customWidth="1"/>
    <col min="3332" max="3332" width="14.42578125" style="75" customWidth="1"/>
    <col min="3333" max="3333" width="15" style="75" customWidth="1"/>
    <col min="3334" max="3584" width="39.85546875" style="75"/>
    <col min="3585" max="3585" width="6.140625" style="75" customWidth="1"/>
    <col min="3586" max="3586" width="36.5703125" style="75" customWidth="1"/>
    <col min="3587" max="3587" width="14" style="75" customWidth="1"/>
    <col min="3588" max="3588" width="14.42578125" style="75" customWidth="1"/>
    <col min="3589" max="3589" width="15" style="75" customWidth="1"/>
    <col min="3590" max="3840" width="39.85546875" style="75"/>
    <col min="3841" max="3841" width="6.140625" style="75" customWidth="1"/>
    <col min="3842" max="3842" width="36.5703125" style="75" customWidth="1"/>
    <col min="3843" max="3843" width="14" style="75" customWidth="1"/>
    <col min="3844" max="3844" width="14.42578125" style="75" customWidth="1"/>
    <col min="3845" max="3845" width="15" style="75" customWidth="1"/>
    <col min="3846" max="4096" width="39.85546875" style="75"/>
    <col min="4097" max="4097" width="6.140625" style="75" customWidth="1"/>
    <col min="4098" max="4098" width="36.5703125" style="75" customWidth="1"/>
    <col min="4099" max="4099" width="14" style="75" customWidth="1"/>
    <col min="4100" max="4100" width="14.42578125" style="75" customWidth="1"/>
    <col min="4101" max="4101" width="15" style="75" customWidth="1"/>
    <col min="4102" max="4352" width="39.85546875" style="75"/>
    <col min="4353" max="4353" width="6.140625" style="75" customWidth="1"/>
    <col min="4354" max="4354" width="36.5703125" style="75" customWidth="1"/>
    <col min="4355" max="4355" width="14" style="75" customWidth="1"/>
    <col min="4356" max="4356" width="14.42578125" style="75" customWidth="1"/>
    <col min="4357" max="4357" width="15" style="75" customWidth="1"/>
    <col min="4358" max="4608" width="39.85546875" style="75"/>
    <col min="4609" max="4609" width="6.140625" style="75" customWidth="1"/>
    <col min="4610" max="4610" width="36.5703125" style="75" customWidth="1"/>
    <col min="4611" max="4611" width="14" style="75" customWidth="1"/>
    <col min="4612" max="4612" width="14.42578125" style="75" customWidth="1"/>
    <col min="4613" max="4613" width="15" style="75" customWidth="1"/>
    <col min="4614" max="4864" width="39.85546875" style="75"/>
    <col min="4865" max="4865" width="6.140625" style="75" customWidth="1"/>
    <col min="4866" max="4866" width="36.5703125" style="75" customWidth="1"/>
    <col min="4867" max="4867" width="14" style="75" customWidth="1"/>
    <col min="4868" max="4868" width="14.42578125" style="75" customWidth="1"/>
    <col min="4869" max="4869" width="15" style="75" customWidth="1"/>
    <col min="4870" max="5120" width="39.85546875" style="75"/>
    <col min="5121" max="5121" width="6.140625" style="75" customWidth="1"/>
    <col min="5122" max="5122" width="36.5703125" style="75" customWidth="1"/>
    <col min="5123" max="5123" width="14" style="75" customWidth="1"/>
    <col min="5124" max="5124" width="14.42578125" style="75" customWidth="1"/>
    <col min="5125" max="5125" width="15" style="75" customWidth="1"/>
    <col min="5126" max="5376" width="39.85546875" style="75"/>
    <col min="5377" max="5377" width="6.140625" style="75" customWidth="1"/>
    <col min="5378" max="5378" width="36.5703125" style="75" customWidth="1"/>
    <col min="5379" max="5379" width="14" style="75" customWidth="1"/>
    <col min="5380" max="5380" width="14.42578125" style="75" customWidth="1"/>
    <col min="5381" max="5381" width="15" style="75" customWidth="1"/>
    <col min="5382" max="5632" width="39.85546875" style="75"/>
    <col min="5633" max="5633" width="6.140625" style="75" customWidth="1"/>
    <col min="5634" max="5634" width="36.5703125" style="75" customWidth="1"/>
    <col min="5635" max="5635" width="14" style="75" customWidth="1"/>
    <col min="5636" max="5636" width="14.42578125" style="75" customWidth="1"/>
    <col min="5637" max="5637" width="15" style="75" customWidth="1"/>
    <col min="5638" max="5888" width="39.85546875" style="75"/>
    <col min="5889" max="5889" width="6.140625" style="75" customWidth="1"/>
    <col min="5890" max="5890" width="36.5703125" style="75" customWidth="1"/>
    <col min="5891" max="5891" width="14" style="75" customWidth="1"/>
    <col min="5892" max="5892" width="14.42578125" style="75" customWidth="1"/>
    <col min="5893" max="5893" width="15" style="75" customWidth="1"/>
    <col min="5894" max="6144" width="39.85546875" style="75"/>
    <col min="6145" max="6145" width="6.140625" style="75" customWidth="1"/>
    <col min="6146" max="6146" width="36.5703125" style="75" customWidth="1"/>
    <col min="6147" max="6147" width="14" style="75" customWidth="1"/>
    <col min="6148" max="6148" width="14.42578125" style="75" customWidth="1"/>
    <col min="6149" max="6149" width="15" style="75" customWidth="1"/>
    <col min="6150" max="6400" width="39.85546875" style="75"/>
    <col min="6401" max="6401" width="6.140625" style="75" customWidth="1"/>
    <col min="6402" max="6402" width="36.5703125" style="75" customWidth="1"/>
    <col min="6403" max="6403" width="14" style="75" customWidth="1"/>
    <col min="6404" max="6404" width="14.42578125" style="75" customWidth="1"/>
    <col min="6405" max="6405" width="15" style="75" customWidth="1"/>
    <col min="6406" max="6656" width="39.85546875" style="75"/>
    <col min="6657" max="6657" width="6.140625" style="75" customWidth="1"/>
    <col min="6658" max="6658" width="36.5703125" style="75" customWidth="1"/>
    <col min="6659" max="6659" width="14" style="75" customWidth="1"/>
    <col min="6660" max="6660" width="14.42578125" style="75" customWidth="1"/>
    <col min="6661" max="6661" width="15" style="75" customWidth="1"/>
    <col min="6662" max="6912" width="39.85546875" style="75"/>
    <col min="6913" max="6913" width="6.140625" style="75" customWidth="1"/>
    <col min="6914" max="6914" width="36.5703125" style="75" customWidth="1"/>
    <col min="6915" max="6915" width="14" style="75" customWidth="1"/>
    <col min="6916" max="6916" width="14.42578125" style="75" customWidth="1"/>
    <col min="6917" max="6917" width="15" style="75" customWidth="1"/>
    <col min="6918" max="7168" width="39.85546875" style="75"/>
    <col min="7169" max="7169" width="6.140625" style="75" customWidth="1"/>
    <col min="7170" max="7170" width="36.5703125" style="75" customWidth="1"/>
    <col min="7171" max="7171" width="14" style="75" customWidth="1"/>
    <col min="7172" max="7172" width="14.42578125" style="75" customWidth="1"/>
    <col min="7173" max="7173" width="15" style="75" customWidth="1"/>
    <col min="7174" max="7424" width="39.85546875" style="75"/>
    <col min="7425" max="7425" width="6.140625" style="75" customWidth="1"/>
    <col min="7426" max="7426" width="36.5703125" style="75" customWidth="1"/>
    <col min="7427" max="7427" width="14" style="75" customWidth="1"/>
    <col min="7428" max="7428" width="14.42578125" style="75" customWidth="1"/>
    <col min="7429" max="7429" width="15" style="75" customWidth="1"/>
    <col min="7430" max="7680" width="39.85546875" style="75"/>
    <col min="7681" max="7681" width="6.140625" style="75" customWidth="1"/>
    <col min="7682" max="7682" width="36.5703125" style="75" customWidth="1"/>
    <col min="7683" max="7683" width="14" style="75" customWidth="1"/>
    <col min="7684" max="7684" width="14.42578125" style="75" customWidth="1"/>
    <col min="7685" max="7685" width="15" style="75" customWidth="1"/>
    <col min="7686" max="7936" width="39.85546875" style="75"/>
    <col min="7937" max="7937" width="6.140625" style="75" customWidth="1"/>
    <col min="7938" max="7938" width="36.5703125" style="75" customWidth="1"/>
    <col min="7939" max="7939" width="14" style="75" customWidth="1"/>
    <col min="7940" max="7940" width="14.42578125" style="75" customWidth="1"/>
    <col min="7941" max="7941" width="15" style="75" customWidth="1"/>
    <col min="7942" max="8192" width="39.85546875" style="75"/>
    <col min="8193" max="8193" width="6.140625" style="75" customWidth="1"/>
    <col min="8194" max="8194" width="36.5703125" style="75" customWidth="1"/>
    <col min="8195" max="8195" width="14" style="75" customWidth="1"/>
    <col min="8196" max="8196" width="14.42578125" style="75" customWidth="1"/>
    <col min="8197" max="8197" width="15" style="75" customWidth="1"/>
    <col min="8198" max="8448" width="39.85546875" style="75"/>
    <col min="8449" max="8449" width="6.140625" style="75" customWidth="1"/>
    <col min="8450" max="8450" width="36.5703125" style="75" customWidth="1"/>
    <col min="8451" max="8451" width="14" style="75" customWidth="1"/>
    <col min="8452" max="8452" width="14.42578125" style="75" customWidth="1"/>
    <col min="8453" max="8453" width="15" style="75" customWidth="1"/>
    <col min="8454" max="8704" width="39.85546875" style="75"/>
    <col min="8705" max="8705" width="6.140625" style="75" customWidth="1"/>
    <col min="8706" max="8706" width="36.5703125" style="75" customWidth="1"/>
    <col min="8707" max="8707" width="14" style="75" customWidth="1"/>
    <col min="8708" max="8708" width="14.42578125" style="75" customWidth="1"/>
    <col min="8709" max="8709" width="15" style="75" customWidth="1"/>
    <col min="8710" max="8960" width="39.85546875" style="75"/>
    <col min="8961" max="8961" width="6.140625" style="75" customWidth="1"/>
    <col min="8962" max="8962" width="36.5703125" style="75" customWidth="1"/>
    <col min="8963" max="8963" width="14" style="75" customWidth="1"/>
    <col min="8964" max="8964" width="14.42578125" style="75" customWidth="1"/>
    <col min="8965" max="8965" width="15" style="75" customWidth="1"/>
    <col min="8966" max="9216" width="39.85546875" style="75"/>
    <col min="9217" max="9217" width="6.140625" style="75" customWidth="1"/>
    <col min="9218" max="9218" width="36.5703125" style="75" customWidth="1"/>
    <col min="9219" max="9219" width="14" style="75" customWidth="1"/>
    <col min="9220" max="9220" width="14.42578125" style="75" customWidth="1"/>
    <col min="9221" max="9221" width="15" style="75" customWidth="1"/>
    <col min="9222" max="9472" width="39.85546875" style="75"/>
    <col min="9473" max="9473" width="6.140625" style="75" customWidth="1"/>
    <col min="9474" max="9474" width="36.5703125" style="75" customWidth="1"/>
    <col min="9475" max="9475" width="14" style="75" customWidth="1"/>
    <col min="9476" max="9476" width="14.42578125" style="75" customWidth="1"/>
    <col min="9477" max="9477" width="15" style="75" customWidth="1"/>
    <col min="9478" max="9728" width="39.85546875" style="75"/>
    <col min="9729" max="9729" width="6.140625" style="75" customWidth="1"/>
    <col min="9730" max="9730" width="36.5703125" style="75" customWidth="1"/>
    <col min="9731" max="9731" width="14" style="75" customWidth="1"/>
    <col min="9732" max="9732" width="14.42578125" style="75" customWidth="1"/>
    <col min="9733" max="9733" width="15" style="75" customWidth="1"/>
    <col min="9734" max="9984" width="39.85546875" style="75"/>
    <col min="9985" max="9985" width="6.140625" style="75" customWidth="1"/>
    <col min="9986" max="9986" width="36.5703125" style="75" customWidth="1"/>
    <col min="9987" max="9987" width="14" style="75" customWidth="1"/>
    <col min="9988" max="9988" width="14.42578125" style="75" customWidth="1"/>
    <col min="9989" max="9989" width="15" style="75" customWidth="1"/>
    <col min="9990" max="10240" width="39.85546875" style="75"/>
    <col min="10241" max="10241" width="6.140625" style="75" customWidth="1"/>
    <col min="10242" max="10242" width="36.5703125" style="75" customWidth="1"/>
    <col min="10243" max="10243" width="14" style="75" customWidth="1"/>
    <col min="10244" max="10244" width="14.42578125" style="75" customWidth="1"/>
    <col min="10245" max="10245" width="15" style="75" customWidth="1"/>
    <col min="10246" max="10496" width="39.85546875" style="75"/>
    <col min="10497" max="10497" width="6.140625" style="75" customWidth="1"/>
    <col min="10498" max="10498" width="36.5703125" style="75" customWidth="1"/>
    <col min="10499" max="10499" width="14" style="75" customWidth="1"/>
    <col min="10500" max="10500" width="14.42578125" style="75" customWidth="1"/>
    <col min="10501" max="10501" width="15" style="75" customWidth="1"/>
    <col min="10502" max="10752" width="39.85546875" style="75"/>
    <col min="10753" max="10753" width="6.140625" style="75" customWidth="1"/>
    <col min="10754" max="10754" width="36.5703125" style="75" customWidth="1"/>
    <col min="10755" max="10755" width="14" style="75" customWidth="1"/>
    <col min="10756" max="10756" width="14.42578125" style="75" customWidth="1"/>
    <col min="10757" max="10757" width="15" style="75" customWidth="1"/>
    <col min="10758" max="11008" width="39.85546875" style="75"/>
    <col min="11009" max="11009" width="6.140625" style="75" customWidth="1"/>
    <col min="11010" max="11010" width="36.5703125" style="75" customWidth="1"/>
    <col min="11011" max="11011" width="14" style="75" customWidth="1"/>
    <col min="11012" max="11012" width="14.42578125" style="75" customWidth="1"/>
    <col min="11013" max="11013" width="15" style="75" customWidth="1"/>
    <col min="11014" max="11264" width="39.85546875" style="75"/>
    <col min="11265" max="11265" width="6.140625" style="75" customWidth="1"/>
    <col min="11266" max="11266" width="36.5703125" style="75" customWidth="1"/>
    <col min="11267" max="11267" width="14" style="75" customWidth="1"/>
    <col min="11268" max="11268" width="14.42578125" style="75" customWidth="1"/>
    <col min="11269" max="11269" width="15" style="75" customWidth="1"/>
    <col min="11270" max="11520" width="39.85546875" style="75"/>
    <col min="11521" max="11521" width="6.140625" style="75" customWidth="1"/>
    <col min="11522" max="11522" width="36.5703125" style="75" customWidth="1"/>
    <col min="11523" max="11523" width="14" style="75" customWidth="1"/>
    <col min="11524" max="11524" width="14.42578125" style="75" customWidth="1"/>
    <col min="11525" max="11525" width="15" style="75" customWidth="1"/>
    <col min="11526" max="11776" width="39.85546875" style="75"/>
    <col min="11777" max="11777" width="6.140625" style="75" customWidth="1"/>
    <col min="11778" max="11778" width="36.5703125" style="75" customWidth="1"/>
    <col min="11779" max="11779" width="14" style="75" customWidth="1"/>
    <col min="11780" max="11780" width="14.42578125" style="75" customWidth="1"/>
    <col min="11781" max="11781" width="15" style="75" customWidth="1"/>
    <col min="11782" max="12032" width="39.85546875" style="75"/>
    <col min="12033" max="12033" width="6.140625" style="75" customWidth="1"/>
    <col min="12034" max="12034" width="36.5703125" style="75" customWidth="1"/>
    <col min="12035" max="12035" width="14" style="75" customWidth="1"/>
    <col min="12036" max="12036" width="14.42578125" style="75" customWidth="1"/>
    <col min="12037" max="12037" width="15" style="75" customWidth="1"/>
    <col min="12038" max="12288" width="39.85546875" style="75"/>
    <col min="12289" max="12289" width="6.140625" style="75" customWidth="1"/>
    <col min="12290" max="12290" width="36.5703125" style="75" customWidth="1"/>
    <col min="12291" max="12291" width="14" style="75" customWidth="1"/>
    <col min="12292" max="12292" width="14.42578125" style="75" customWidth="1"/>
    <col min="12293" max="12293" width="15" style="75" customWidth="1"/>
    <col min="12294" max="12544" width="39.85546875" style="75"/>
    <col min="12545" max="12545" width="6.140625" style="75" customWidth="1"/>
    <col min="12546" max="12546" width="36.5703125" style="75" customWidth="1"/>
    <col min="12547" max="12547" width="14" style="75" customWidth="1"/>
    <col min="12548" max="12548" width="14.42578125" style="75" customWidth="1"/>
    <col min="12549" max="12549" width="15" style="75" customWidth="1"/>
    <col min="12550" max="12800" width="39.85546875" style="75"/>
    <col min="12801" max="12801" width="6.140625" style="75" customWidth="1"/>
    <col min="12802" max="12802" width="36.5703125" style="75" customWidth="1"/>
    <col min="12803" max="12803" width="14" style="75" customWidth="1"/>
    <col min="12804" max="12804" width="14.42578125" style="75" customWidth="1"/>
    <col min="12805" max="12805" width="15" style="75" customWidth="1"/>
    <col min="12806" max="13056" width="39.85546875" style="75"/>
    <col min="13057" max="13057" width="6.140625" style="75" customWidth="1"/>
    <col min="13058" max="13058" width="36.5703125" style="75" customWidth="1"/>
    <col min="13059" max="13059" width="14" style="75" customWidth="1"/>
    <col min="13060" max="13060" width="14.42578125" style="75" customWidth="1"/>
    <col min="13061" max="13061" width="15" style="75" customWidth="1"/>
    <col min="13062" max="13312" width="39.85546875" style="75"/>
    <col min="13313" max="13313" width="6.140625" style="75" customWidth="1"/>
    <col min="13314" max="13314" width="36.5703125" style="75" customWidth="1"/>
    <col min="13315" max="13315" width="14" style="75" customWidth="1"/>
    <col min="13316" max="13316" width="14.42578125" style="75" customWidth="1"/>
    <col min="13317" max="13317" width="15" style="75" customWidth="1"/>
    <col min="13318" max="13568" width="39.85546875" style="75"/>
    <col min="13569" max="13569" width="6.140625" style="75" customWidth="1"/>
    <col min="13570" max="13570" width="36.5703125" style="75" customWidth="1"/>
    <col min="13571" max="13571" width="14" style="75" customWidth="1"/>
    <col min="13572" max="13572" width="14.42578125" style="75" customWidth="1"/>
    <col min="13573" max="13573" width="15" style="75" customWidth="1"/>
    <col min="13574" max="13824" width="39.85546875" style="75"/>
    <col min="13825" max="13825" width="6.140625" style="75" customWidth="1"/>
    <col min="13826" max="13826" width="36.5703125" style="75" customWidth="1"/>
    <col min="13827" max="13827" width="14" style="75" customWidth="1"/>
    <col min="13828" max="13828" width="14.42578125" style="75" customWidth="1"/>
    <col min="13829" max="13829" width="15" style="75" customWidth="1"/>
    <col min="13830" max="14080" width="39.85546875" style="75"/>
    <col min="14081" max="14081" width="6.140625" style="75" customWidth="1"/>
    <col min="14082" max="14082" width="36.5703125" style="75" customWidth="1"/>
    <col min="14083" max="14083" width="14" style="75" customWidth="1"/>
    <col min="14084" max="14084" width="14.42578125" style="75" customWidth="1"/>
    <col min="14085" max="14085" width="15" style="75" customWidth="1"/>
    <col min="14086" max="14336" width="39.85546875" style="75"/>
    <col min="14337" max="14337" width="6.140625" style="75" customWidth="1"/>
    <col min="14338" max="14338" width="36.5703125" style="75" customWidth="1"/>
    <col min="14339" max="14339" width="14" style="75" customWidth="1"/>
    <col min="14340" max="14340" width="14.42578125" style="75" customWidth="1"/>
    <col min="14341" max="14341" width="15" style="75" customWidth="1"/>
    <col min="14342" max="14592" width="39.85546875" style="75"/>
    <col min="14593" max="14593" width="6.140625" style="75" customWidth="1"/>
    <col min="14594" max="14594" width="36.5703125" style="75" customWidth="1"/>
    <col min="14595" max="14595" width="14" style="75" customWidth="1"/>
    <col min="14596" max="14596" width="14.42578125" style="75" customWidth="1"/>
    <col min="14597" max="14597" width="15" style="75" customWidth="1"/>
    <col min="14598" max="14848" width="39.85546875" style="75"/>
    <col min="14849" max="14849" width="6.140625" style="75" customWidth="1"/>
    <col min="14850" max="14850" width="36.5703125" style="75" customWidth="1"/>
    <col min="14851" max="14851" width="14" style="75" customWidth="1"/>
    <col min="14852" max="14852" width="14.42578125" style="75" customWidth="1"/>
    <col min="14853" max="14853" width="15" style="75" customWidth="1"/>
    <col min="14854" max="15104" width="39.85546875" style="75"/>
    <col min="15105" max="15105" width="6.140625" style="75" customWidth="1"/>
    <col min="15106" max="15106" width="36.5703125" style="75" customWidth="1"/>
    <col min="15107" max="15107" width="14" style="75" customWidth="1"/>
    <col min="15108" max="15108" width="14.42578125" style="75" customWidth="1"/>
    <col min="15109" max="15109" width="15" style="75" customWidth="1"/>
    <col min="15110" max="15360" width="39.85546875" style="75"/>
    <col min="15361" max="15361" width="6.140625" style="75" customWidth="1"/>
    <col min="15362" max="15362" width="36.5703125" style="75" customWidth="1"/>
    <col min="15363" max="15363" width="14" style="75" customWidth="1"/>
    <col min="15364" max="15364" width="14.42578125" style="75" customWidth="1"/>
    <col min="15365" max="15365" width="15" style="75" customWidth="1"/>
    <col min="15366" max="15616" width="39.85546875" style="75"/>
    <col min="15617" max="15617" width="6.140625" style="75" customWidth="1"/>
    <col min="15618" max="15618" width="36.5703125" style="75" customWidth="1"/>
    <col min="15619" max="15619" width="14" style="75" customWidth="1"/>
    <col min="15620" max="15620" width="14.42578125" style="75" customWidth="1"/>
    <col min="15621" max="15621" width="15" style="75" customWidth="1"/>
    <col min="15622" max="15872" width="39.85546875" style="75"/>
    <col min="15873" max="15873" width="6.140625" style="75" customWidth="1"/>
    <col min="15874" max="15874" width="36.5703125" style="75" customWidth="1"/>
    <col min="15875" max="15875" width="14" style="75" customWidth="1"/>
    <col min="15876" max="15876" width="14.42578125" style="75" customWidth="1"/>
    <col min="15877" max="15877" width="15" style="75" customWidth="1"/>
    <col min="15878" max="16128" width="39.85546875" style="75"/>
    <col min="16129" max="16129" width="6.140625" style="75" customWidth="1"/>
    <col min="16130" max="16130" width="36.5703125" style="75" customWidth="1"/>
    <col min="16131" max="16131" width="14" style="75" customWidth="1"/>
    <col min="16132" max="16132" width="14.42578125" style="75" customWidth="1"/>
    <col min="16133" max="16133" width="15" style="75" customWidth="1"/>
    <col min="16134" max="16384" width="39.85546875" style="75"/>
  </cols>
  <sheetData>
    <row r="1" spans="1:8" ht="37.5" customHeight="1">
      <c r="C1" s="195" t="s">
        <v>285</v>
      </c>
      <c r="D1" s="195"/>
      <c r="E1" s="195"/>
    </row>
    <row r="2" spans="1:8" ht="15" customHeight="1">
      <c r="A2" s="76"/>
      <c r="C2" s="76"/>
      <c r="D2" s="76"/>
      <c r="E2" s="76"/>
    </row>
    <row r="3" spans="1:8" ht="18" customHeight="1">
      <c r="A3" s="196" t="s">
        <v>207</v>
      </c>
      <c r="B3" s="196"/>
      <c r="C3" s="196"/>
      <c r="D3" s="196"/>
      <c r="E3" s="196"/>
      <c r="F3" s="77"/>
    </row>
    <row r="4" spans="1:8" ht="16.5" customHeight="1">
      <c r="A4" s="197" t="s">
        <v>286</v>
      </c>
      <c r="B4" s="197"/>
      <c r="C4" s="197"/>
      <c r="D4" s="197"/>
      <c r="E4" s="197"/>
      <c r="F4" s="78"/>
      <c r="G4" s="78"/>
      <c r="H4" s="78"/>
    </row>
    <row r="5" spans="1:8" ht="16.5" customHeight="1">
      <c r="A5" s="197" t="s">
        <v>295</v>
      </c>
      <c r="B5" s="197"/>
      <c r="C5" s="197"/>
      <c r="D5" s="197"/>
      <c r="E5" s="197"/>
      <c r="F5" s="78"/>
      <c r="G5" s="78"/>
      <c r="H5" s="78"/>
    </row>
    <row r="6" spans="1:8" ht="18.75" customHeight="1">
      <c r="A6" s="203" t="s">
        <v>287</v>
      </c>
      <c r="B6" s="203"/>
      <c r="C6" s="203"/>
      <c r="D6" s="203"/>
      <c r="E6" s="203"/>
    </row>
    <row r="7" spans="1:8" ht="15.6" customHeight="1">
      <c r="A7" s="198" t="s">
        <v>140</v>
      </c>
      <c r="B7" s="198" t="s">
        <v>167</v>
      </c>
      <c r="C7" s="198" t="s">
        <v>168</v>
      </c>
      <c r="D7" s="201" t="s">
        <v>257</v>
      </c>
      <c r="E7" s="202"/>
    </row>
    <row r="8" spans="1:8" ht="18.600000000000001" customHeight="1">
      <c r="A8" s="199"/>
      <c r="B8" s="199"/>
      <c r="C8" s="199"/>
      <c r="D8" s="198" t="s">
        <v>209</v>
      </c>
      <c r="E8" s="198" t="s">
        <v>210</v>
      </c>
    </row>
    <row r="9" spans="1:8" ht="18.600000000000001" customHeight="1">
      <c r="A9" s="200"/>
      <c r="B9" s="200"/>
      <c r="C9" s="200"/>
      <c r="D9" s="200"/>
      <c r="E9" s="200"/>
    </row>
    <row r="10" spans="1:8">
      <c r="A10" s="79">
        <v>1</v>
      </c>
      <c r="B10" s="79">
        <v>2</v>
      </c>
      <c r="C10" s="79">
        <v>3</v>
      </c>
      <c r="D10" s="79">
        <v>4</v>
      </c>
      <c r="E10" s="79">
        <v>5</v>
      </c>
    </row>
    <row r="11" spans="1:8" ht="31.5">
      <c r="A11" s="79">
        <v>1</v>
      </c>
      <c r="B11" s="80" t="s">
        <v>261</v>
      </c>
      <c r="C11" s="79" t="s">
        <v>174</v>
      </c>
      <c r="D11" s="81">
        <v>9.6999999999999993</v>
      </c>
      <c r="E11" s="81">
        <v>9.6999999999999993</v>
      </c>
    </row>
    <row r="12" spans="1:8" ht="31.5">
      <c r="A12" s="79">
        <v>2</v>
      </c>
      <c r="B12" s="80" t="s">
        <v>262</v>
      </c>
      <c r="C12" s="79" t="s">
        <v>211</v>
      </c>
      <c r="D12" s="187">
        <v>2</v>
      </c>
      <c r="E12" s="187">
        <v>2</v>
      </c>
    </row>
    <row r="13" spans="1:8" ht="33.75" customHeight="1">
      <c r="A13" s="79">
        <v>3</v>
      </c>
      <c r="B13" s="80" t="s">
        <v>263</v>
      </c>
      <c r="C13" s="79" t="s">
        <v>212</v>
      </c>
      <c r="D13" s="175">
        <v>2.48</v>
      </c>
      <c r="E13" s="175">
        <f>1093.34/366</f>
        <v>2.9872677595628412</v>
      </c>
      <c r="G13" s="75" t="s">
        <v>288</v>
      </c>
    </row>
    <row r="14" spans="1:8">
      <c r="A14" s="79">
        <v>4</v>
      </c>
      <c r="B14" s="80" t="s">
        <v>264</v>
      </c>
      <c r="C14" s="79" t="s">
        <v>211</v>
      </c>
      <c r="D14" s="175">
        <v>0</v>
      </c>
      <c r="E14" s="175">
        <v>0</v>
      </c>
    </row>
    <row r="15" spans="1:8" ht="31.5">
      <c r="A15" s="79">
        <v>5</v>
      </c>
      <c r="B15" s="82" t="s">
        <v>265</v>
      </c>
      <c r="C15" s="79" t="s">
        <v>213</v>
      </c>
      <c r="D15" s="175">
        <f>D19</f>
        <v>1043.1300000000001</v>
      </c>
      <c r="E15" s="175">
        <f>E19</f>
        <v>1043.1199999999999</v>
      </c>
    </row>
    <row r="16" spans="1:8" hidden="1">
      <c r="A16" s="173" t="s">
        <v>266</v>
      </c>
      <c r="B16" s="82" t="s">
        <v>267</v>
      </c>
      <c r="C16" s="79" t="s">
        <v>213</v>
      </c>
      <c r="D16" s="175">
        <v>197.86</v>
      </c>
      <c r="E16" s="175">
        <f t="shared" ref="E16:E18" si="0">D16</f>
        <v>197.86</v>
      </c>
    </row>
    <row r="17" spans="1:8" hidden="1">
      <c r="A17" s="173" t="s">
        <v>268</v>
      </c>
      <c r="B17" s="82" t="s">
        <v>269</v>
      </c>
      <c r="C17" s="79" t="s">
        <v>213</v>
      </c>
      <c r="D17" s="175">
        <v>26.24</v>
      </c>
      <c r="E17" s="175">
        <f t="shared" si="0"/>
        <v>26.24</v>
      </c>
    </row>
    <row r="18" spans="1:8" hidden="1">
      <c r="A18" s="173" t="s">
        <v>270</v>
      </c>
      <c r="B18" s="82" t="s">
        <v>271</v>
      </c>
      <c r="C18" s="79" t="s">
        <v>213</v>
      </c>
      <c r="D18" s="175">
        <v>45.99</v>
      </c>
      <c r="E18" s="175">
        <f t="shared" si="0"/>
        <v>45.99</v>
      </c>
    </row>
    <row r="19" spans="1:8">
      <c r="A19" s="173" t="s">
        <v>294</v>
      </c>
      <c r="B19" s="82" t="s">
        <v>272</v>
      </c>
      <c r="C19" s="79" t="s">
        <v>213</v>
      </c>
      <c r="D19" s="175">
        <v>1043.1300000000001</v>
      </c>
      <c r="E19" s="175">
        <v>1043.1199999999999</v>
      </c>
      <c r="G19" s="172"/>
      <c r="H19" s="172"/>
    </row>
    <row r="20" spans="1:8">
      <c r="A20" s="173" t="s">
        <v>291</v>
      </c>
      <c r="B20" s="84" t="s">
        <v>304</v>
      </c>
      <c r="C20" s="85" t="s">
        <v>214</v>
      </c>
      <c r="D20" s="9">
        <f>25.02+146.44</f>
        <v>171.46</v>
      </c>
      <c r="E20" s="9">
        <f>142.73+25.024</f>
        <v>167.75399999999999</v>
      </c>
    </row>
    <row r="21" spans="1:8" ht="63">
      <c r="A21" s="173" t="s">
        <v>292</v>
      </c>
      <c r="B21" s="84" t="s">
        <v>273</v>
      </c>
      <c r="C21" s="85" t="s">
        <v>215</v>
      </c>
      <c r="D21" s="175"/>
      <c r="E21" s="175"/>
    </row>
    <row r="22" spans="1:8" ht="15.6" customHeight="1">
      <c r="A22" s="79" t="s">
        <v>108</v>
      </c>
      <c r="B22" s="84" t="s">
        <v>290</v>
      </c>
      <c r="C22" s="85" t="s">
        <v>215</v>
      </c>
      <c r="D22" s="175">
        <f>D20/D19</f>
        <v>0.1643706920518056</v>
      </c>
      <c r="E22" s="175">
        <f>E20/E15</f>
        <v>0.16081946468287447</v>
      </c>
    </row>
    <row r="23" spans="1:8">
      <c r="A23" s="87">
        <v>8</v>
      </c>
      <c r="B23" s="88" t="s">
        <v>175</v>
      </c>
      <c r="C23" s="87" t="s">
        <v>170</v>
      </c>
      <c r="D23" s="175">
        <v>105.6</v>
      </c>
      <c r="E23" s="175">
        <v>105.6</v>
      </c>
    </row>
    <row r="24" spans="1:8" ht="31.5">
      <c r="A24" s="79">
        <v>9</v>
      </c>
      <c r="B24" s="82" t="s">
        <v>284</v>
      </c>
      <c r="C24" s="82"/>
      <c r="D24" s="175"/>
      <c r="E24" s="175"/>
    </row>
    <row r="25" spans="1:8">
      <c r="A25" s="79" t="s">
        <v>293</v>
      </c>
      <c r="B25" s="82" t="s">
        <v>216</v>
      </c>
      <c r="C25" s="79" t="s">
        <v>170</v>
      </c>
      <c r="D25" s="175">
        <v>107.3</v>
      </c>
      <c r="E25" s="175">
        <f>D25</f>
        <v>107.3</v>
      </c>
    </row>
    <row r="26" spans="1:8" hidden="1" outlineLevel="1">
      <c r="A26" s="79" t="s">
        <v>217</v>
      </c>
      <c r="B26" s="82" t="s">
        <v>218</v>
      </c>
      <c r="C26" s="79" t="s">
        <v>170</v>
      </c>
      <c r="D26" s="175">
        <v>0</v>
      </c>
      <c r="E26" s="175">
        <f>D26</f>
        <v>0</v>
      </c>
    </row>
    <row r="27" spans="1:8" hidden="1" outlineLevel="1">
      <c r="A27" s="79" t="s">
        <v>219</v>
      </c>
      <c r="B27" s="82" t="s">
        <v>220</v>
      </c>
      <c r="C27" s="79" t="s">
        <v>170</v>
      </c>
      <c r="D27" s="175">
        <v>0</v>
      </c>
      <c r="E27" s="175">
        <f>D27</f>
        <v>0</v>
      </c>
    </row>
    <row r="28" spans="1:8" collapsed="1">
      <c r="A28" s="79" t="s">
        <v>142</v>
      </c>
      <c r="B28" s="82" t="s">
        <v>221</v>
      </c>
      <c r="C28" s="79" t="s">
        <v>170</v>
      </c>
      <c r="D28" s="175">
        <v>103</v>
      </c>
      <c r="E28" s="175">
        <f>D28</f>
        <v>103</v>
      </c>
    </row>
    <row r="29" spans="1:8" hidden="1" outlineLevel="1">
      <c r="A29" s="79" t="s">
        <v>222</v>
      </c>
      <c r="B29" s="82" t="s">
        <v>223</v>
      </c>
      <c r="C29" s="79" t="s">
        <v>170</v>
      </c>
      <c r="D29" s="89">
        <v>0</v>
      </c>
      <c r="E29" s="89">
        <f>D29</f>
        <v>0</v>
      </c>
    </row>
    <row r="30" spans="1:8" collapsed="1"/>
  </sheetData>
  <mergeCells count="11">
    <mergeCell ref="C1:E1"/>
    <mergeCell ref="A3:E3"/>
    <mergeCell ref="A4:E4"/>
    <mergeCell ref="A7:A9"/>
    <mergeCell ref="B7:B9"/>
    <mergeCell ref="C7:C9"/>
    <mergeCell ref="D7:E7"/>
    <mergeCell ref="D8:D9"/>
    <mergeCell ref="E8:E9"/>
    <mergeCell ref="A6:E6"/>
    <mergeCell ref="A5:E5"/>
  </mergeCells>
  <pageMargins left="1.1811023622047245" right="0.39370078740157483" top="0.78740157480314965" bottom="0.3937007874015748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opLeftCell="A2" workbookViewId="0">
      <selection activeCell="A7" sqref="A7:E7"/>
    </sheetView>
  </sheetViews>
  <sheetFormatPr defaultRowHeight="15.75"/>
  <cols>
    <col min="1" max="1" width="5.42578125" style="90" customWidth="1"/>
    <col min="2" max="2" width="37" style="90" customWidth="1"/>
    <col min="3" max="3" width="14.42578125" style="91" customWidth="1"/>
    <col min="4" max="4" width="12" style="91" customWidth="1"/>
    <col min="5" max="5" width="13.140625" style="90" customWidth="1"/>
    <col min="6" max="6" width="9.140625" style="90"/>
    <col min="7" max="7" width="22" style="90" customWidth="1"/>
    <col min="8" max="256" width="9.140625" style="90"/>
    <col min="257" max="257" width="10.42578125" style="90" customWidth="1"/>
    <col min="258" max="258" width="37" style="90" customWidth="1"/>
    <col min="259" max="259" width="14.42578125" style="90" customWidth="1"/>
    <col min="260" max="260" width="12" style="90" customWidth="1"/>
    <col min="261" max="261" width="13.140625" style="90" customWidth="1"/>
    <col min="262" max="262" width="9.140625" style="90"/>
    <col min="263" max="263" width="22" style="90" customWidth="1"/>
    <col min="264" max="512" width="9.140625" style="90"/>
    <col min="513" max="513" width="10.42578125" style="90" customWidth="1"/>
    <col min="514" max="514" width="37" style="90" customWidth="1"/>
    <col min="515" max="515" width="14.42578125" style="90" customWidth="1"/>
    <col min="516" max="516" width="12" style="90" customWidth="1"/>
    <col min="517" max="517" width="13.140625" style="90" customWidth="1"/>
    <col min="518" max="518" width="9.140625" style="90"/>
    <col min="519" max="519" width="22" style="90" customWidth="1"/>
    <col min="520" max="768" width="9.140625" style="90"/>
    <col min="769" max="769" width="10.42578125" style="90" customWidth="1"/>
    <col min="770" max="770" width="37" style="90" customWidth="1"/>
    <col min="771" max="771" width="14.42578125" style="90" customWidth="1"/>
    <col min="772" max="772" width="12" style="90" customWidth="1"/>
    <col min="773" max="773" width="13.140625" style="90" customWidth="1"/>
    <col min="774" max="774" width="9.140625" style="90"/>
    <col min="775" max="775" width="22" style="90" customWidth="1"/>
    <col min="776" max="1024" width="9.140625" style="90"/>
    <col min="1025" max="1025" width="10.42578125" style="90" customWidth="1"/>
    <col min="1026" max="1026" width="37" style="90" customWidth="1"/>
    <col min="1027" max="1027" width="14.42578125" style="90" customWidth="1"/>
    <col min="1028" max="1028" width="12" style="90" customWidth="1"/>
    <col min="1029" max="1029" width="13.140625" style="90" customWidth="1"/>
    <col min="1030" max="1030" width="9.140625" style="90"/>
    <col min="1031" max="1031" width="22" style="90" customWidth="1"/>
    <col min="1032" max="1280" width="9.140625" style="90"/>
    <col min="1281" max="1281" width="10.42578125" style="90" customWidth="1"/>
    <col min="1282" max="1282" width="37" style="90" customWidth="1"/>
    <col min="1283" max="1283" width="14.42578125" style="90" customWidth="1"/>
    <col min="1284" max="1284" width="12" style="90" customWidth="1"/>
    <col min="1285" max="1285" width="13.140625" style="90" customWidth="1"/>
    <col min="1286" max="1286" width="9.140625" style="90"/>
    <col min="1287" max="1287" width="22" style="90" customWidth="1"/>
    <col min="1288" max="1536" width="9.140625" style="90"/>
    <col min="1537" max="1537" width="10.42578125" style="90" customWidth="1"/>
    <col min="1538" max="1538" width="37" style="90" customWidth="1"/>
    <col min="1539" max="1539" width="14.42578125" style="90" customWidth="1"/>
    <col min="1540" max="1540" width="12" style="90" customWidth="1"/>
    <col min="1541" max="1541" width="13.140625" style="90" customWidth="1"/>
    <col min="1542" max="1542" width="9.140625" style="90"/>
    <col min="1543" max="1543" width="22" style="90" customWidth="1"/>
    <col min="1544" max="1792" width="9.140625" style="90"/>
    <col min="1793" max="1793" width="10.42578125" style="90" customWidth="1"/>
    <col min="1794" max="1794" width="37" style="90" customWidth="1"/>
    <col min="1795" max="1795" width="14.42578125" style="90" customWidth="1"/>
    <col min="1796" max="1796" width="12" style="90" customWidth="1"/>
    <col min="1797" max="1797" width="13.140625" style="90" customWidth="1"/>
    <col min="1798" max="1798" width="9.140625" style="90"/>
    <col min="1799" max="1799" width="22" style="90" customWidth="1"/>
    <col min="1800" max="2048" width="9.140625" style="90"/>
    <col min="2049" max="2049" width="10.42578125" style="90" customWidth="1"/>
    <col min="2050" max="2050" width="37" style="90" customWidth="1"/>
    <col min="2051" max="2051" width="14.42578125" style="90" customWidth="1"/>
    <col min="2052" max="2052" width="12" style="90" customWidth="1"/>
    <col min="2053" max="2053" width="13.140625" style="90" customWidth="1"/>
    <col min="2054" max="2054" width="9.140625" style="90"/>
    <col min="2055" max="2055" width="22" style="90" customWidth="1"/>
    <col min="2056" max="2304" width="9.140625" style="90"/>
    <col min="2305" max="2305" width="10.42578125" style="90" customWidth="1"/>
    <col min="2306" max="2306" width="37" style="90" customWidth="1"/>
    <col min="2307" max="2307" width="14.42578125" style="90" customWidth="1"/>
    <col min="2308" max="2308" width="12" style="90" customWidth="1"/>
    <col min="2309" max="2309" width="13.140625" style="90" customWidth="1"/>
    <col min="2310" max="2310" width="9.140625" style="90"/>
    <col min="2311" max="2311" width="22" style="90" customWidth="1"/>
    <col min="2312" max="2560" width="9.140625" style="90"/>
    <col min="2561" max="2561" width="10.42578125" style="90" customWidth="1"/>
    <col min="2562" max="2562" width="37" style="90" customWidth="1"/>
    <col min="2563" max="2563" width="14.42578125" style="90" customWidth="1"/>
    <col min="2564" max="2564" width="12" style="90" customWidth="1"/>
    <col min="2565" max="2565" width="13.140625" style="90" customWidth="1"/>
    <col min="2566" max="2566" width="9.140625" style="90"/>
    <col min="2567" max="2567" width="22" style="90" customWidth="1"/>
    <col min="2568" max="2816" width="9.140625" style="90"/>
    <col min="2817" max="2817" width="10.42578125" style="90" customWidth="1"/>
    <col min="2818" max="2818" width="37" style="90" customWidth="1"/>
    <col min="2819" max="2819" width="14.42578125" style="90" customWidth="1"/>
    <col min="2820" max="2820" width="12" style="90" customWidth="1"/>
    <col min="2821" max="2821" width="13.140625" style="90" customWidth="1"/>
    <col min="2822" max="2822" width="9.140625" style="90"/>
    <col min="2823" max="2823" width="22" style="90" customWidth="1"/>
    <col min="2824" max="3072" width="9.140625" style="90"/>
    <col min="3073" max="3073" width="10.42578125" style="90" customWidth="1"/>
    <col min="3074" max="3074" width="37" style="90" customWidth="1"/>
    <col min="3075" max="3075" width="14.42578125" style="90" customWidth="1"/>
    <col min="3076" max="3076" width="12" style="90" customWidth="1"/>
    <col min="3077" max="3077" width="13.140625" style="90" customWidth="1"/>
    <col min="3078" max="3078" width="9.140625" style="90"/>
    <col min="3079" max="3079" width="22" style="90" customWidth="1"/>
    <col min="3080" max="3328" width="9.140625" style="90"/>
    <col min="3329" max="3329" width="10.42578125" style="90" customWidth="1"/>
    <col min="3330" max="3330" width="37" style="90" customWidth="1"/>
    <col min="3331" max="3331" width="14.42578125" style="90" customWidth="1"/>
    <col min="3332" max="3332" width="12" style="90" customWidth="1"/>
    <col min="3333" max="3333" width="13.140625" style="90" customWidth="1"/>
    <col min="3334" max="3334" width="9.140625" style="90"/>
    <col min="3335" max="3335" width="22" style="90" customWidth="1"/>
    <col min="3336" max="3584" width="9.140625" style="90"/>
    <col min="3585" max="3585" width="10.42578125" style="90" customWidth="1"/>
    <col min="3586" max="3586" width="37" style="90" customWidth="1"/>
    <col min="3587" max="3587" width="14.42578125" style="90" customWidth="1"/>
    <col min="3588" max="3588" width="12" style="90" customWidth="1"/>
    <col min="3589" max="3589" width="13.140625" style="90" customWidth="1"/>
    <col min="3590" max="3590" width="9.140625" style="90"/>
    <col min="3591" max="3591" width="22" style="90" customWidth="1"/>
    <col min="3592" max="3840" width="9.140625" style="90"/>
    <col min="3841" max="3841" width="10.42578125" style="90" customWidth="1"/>
    <col min="3842" max="3842" width="37" style="90" customWidth="1"/>
    <col min="3843" max="3843" width="14.42578125" style="90" customWidth="1"/>
    <col min="3844" max="3844" width="12" style="90" customWidth="1"/>
    <col min="3845" max="3845" width="13.140625" style="90" customWidth="1"/>
    <col min="3846" max="3846" width="9.140625" style="90"/>
    <col min="3847" max="3847" width="22" style="90" customWidth="1"/>
    <col min="3848" max="4096" width="9.140625" style="90"/>
    <col min="4097" max="4097" width="10.42578125" style="90" customWidth="1"/>
    <col min="4098" max="4098" width="37" style="90" customWidth="1"/>
    <col min="4099" max="4099" width="14.42578125" style="90" customWidth="1"/>
    <col min="4100" max="4100" width="12" style="90" customWidth="1"/>
    <col min="4101" max="4101" width="13.140625" style="90" customWidth="1"/>
    <col min="4102" max="4102" width="9.140625" style="90"/>
    <col min="4103" max="4103" width="22" style="90" customWidth="1"/>
    <col min="4104" max="4352" width="9.140625" style="90"/>
    <col min="4353" max="4353" width="10.42578125" style="90" customWidth="1"/>
    <col min="4354" max="4354" width="37" style="90" customWidth="1"/>
    <col min="4355" max="4355" width="14.42578125" style="90" customWidth="1"/>
    <col min="4356" max="4356" width="12" style="90" customWidth="1"/>
    <col min="4357" max="4357" width="13.140625" style="90" customWidth="1"/>
    <col min="4358" max="4358" width="9.140625" style="90"/>
    <col min="4359" max="4359" width="22" style="90" customWidth="1"/>
    <col min="4360" max="4608" width="9.140625" style="90"/>
    <col min="4609" max="4609" width="10.42578125" style="90" customWidth="1"/>
    <col min="4610" max="4610" width="37" style="90" customWidth="1"/>
    <col min="4611" max="4611" width="14.42578125" style="90" customWidth="1"/>
    <col min="4612" max="4612" width="12" style="90" customWidth="1"/>
    <col min="4613" max="4613" width="13.140625" style="90" customWidth="1"/>
    <col min="4614" max="4614" width="9.140625" style="90"/>
    <col min="4615" max="4615" width="22" style="90" customWidth="1"/>
    <col min="4616" max="4864" width="9.140625" style="90"/>
    <col min="4865" max="4865" width="10.42578125" style="90" customWidth="1"/>
    <col min="4866" max="4866" width="37" style="90" customWidth="1"/>
    <col min="4867" max="4867" width="14.42578125" style="90" customWidth="1"/>
    <col min="4868" max="4868" width="12" style="90" customWidth="1"/>
    <col min="4869" max="4869" width="13.140625" style="90" customWidth="1"/>
    <col min="4870" max="4870" width="9.140625" style="90"/>
    <col min="4871" max="4871" width="22" style="90" customWidth="1"/>
    <col min="4872" max="5120" width="9.140625" style="90"/>
    <col min="5121" max="5121" width="10.42578125" style="90" customWidth="1"/>
    <col min="5122" max="5122" width="37" style="90" customWidth="1"/>
    <col min="5123" max="5123" width="14.42578125" style="90" customWidth="1"/>
    <col min="5124" max="5124" width="12" style="90" customWidth="1"/>
    <col min="5125" max="5125" width="13.140625" style="90" customWidth="1"/>
    <col min="5126" max="5126" width="9.140625" style="90"/>
    <col min="5127" max="5127" width="22" style="90" customWidth="1"/>
    <col min="5128" max="5376" width="9.140625" style="90"/>
    <col min="5377" max="5377" width="10.42578125" style="90" customWidth="1"/>
    <col min="5378" max="5378" width="37" style="90" customWidth="1"/>
    <col min="5379" max="5379" width="14.42578125" style="90" customWidth="1"/>
    <col min="5380" max="5380" width="12" style="90" customWidth="1"/>
    <col min="5381" max="5381" width="13.140625" style="90" customWidth="1"/>
    <col min="5382" max="5382" width="9.140625" style="90"/>
    <col min="5383" max="5383" width="22" style="90" customWidth="1"/>
    <col min="5384" max="5632" width="9.140625" style="90"/>
    <col min="5633" max="5633" width="10.42578125" style="90" customWidth="1"/>
    <col min="5634" max="5634" width="37" style="90" customWidth="1"/>
    <col min="5635" max="5635" width="14.42578125" style="90" customWidth="1"/>
    <col min="5636" max="5636" width="12" style="90" customWidth="1"/>
    <col min="5637" max="5637" width="13.140625" style="90" customWidth="1"/>
    <col min="5638" max="5638" width="9.140625" style="90"/>
    <col min="5639" max="5639" width="22" style="90" customWidth="1"/>
    <col min="5640" max="5888" width="9.140625" style="90"/>
    <col min="5889" max="5889" width="10.42578125" style="90" customWidth="1"/>
    <col min="5890" max="5890" width="37" style="90" customWidth="1"/>
    <col min="5891" max="5891" width="14.42578125" style="90" customWidth="1"/>
    <col min="5892" max="5892" width="12" style="90" customWidth="1"/>
    <col min="5893" max="5893" width="13.140625" style="90" customWidth="1"/>
    <col min="5894" max="5894" width="9.140625" style="90"/>
    <col min="5895" max="5895" width="22" style="90" customWidth="1"/>
    <col min="5896" max="6144" width="9.140625" style="90"/>
    <col min="6145" max="6145" width="10.42578125" style="90" customWidth="1"/>
    <col min="6146" max="6146" width="37" style="90" customWidth="1"/>
    <col min="6147" max="6147" width="14.42578125" style="90" customWidth="1"/>
    <col min="6148" max="6148" width="12" style="90" customWidth="1"/>
    <col min="6149" max="6149" width="13.140625" style="90" customWidth="1"/>
    <col min="6150" max="6150" width="9.140625" style="90"/>
    <col min="6151" max="6151" width="22" style="90" customWidth="1"/>
    <col min="6152" max="6400" width="9.140625" style="90"/>
    <col min="6401" max="6401" width="10.42578125" style="90" customWidth="1"/>
    <col min="6402" max="6402" width="37" style="90" customWidth="1"/>
    <col min="6403" max="6403" width="14.42578125" style="90" customWidth="1"/>
    <col min="6404" max="6404" width="12" style="90" customWidth="1"/>
    <col min="6405" max="6405" width="13.140625" style="90" customWidth="1"/>
    <col min="6406" max="6406" width="9.140625" style="90"/>
    <col min="6407" max="6407" width="22" style="90" customWidth="1"/>
    <col min="6408" max="6656" width="9.140625" style="90"/>
    <col min="6657" max="6657" width="10.42578125" style="90" customWidth="1"/>
    <col min="6658" max="6658" width="37" style="90" customWidth="1"/>
    <col min="6659" max="6659" width="14.42578125" style="90" customWidth="1"/>
    <col min="6660" max="6660" width="12" style="90" customWidth="1"/>
    <col min="6661" max="6661" width="13.140625" style="90" customWidth="1"/>
    <col min="6662" max="6662" width="9.140625" style="90"/>
    <col min="6663" max="6663" width="22" style="90" customWidth="1"/>
    <col min="6664" max="6912" width="9.140625" style="90"/>
    <col min="6913" max="6913" width="10.42578125" style="90" customWidth="1"/>
    <col min="6914" max="6914" width="37" style="90" customWidth="1"/>
    <col min="6915" max="6915" width="14.42578125" style="90" customWidth="1"/>
    <col min="6916" max="6916" width="12" style="90" customWidth="1"/>
    <col min="6917" max="6917" width="13.140625" style="90" customWidth="1"/>
    <col min="6918" max="6918" width="9.140625" style="90"/>
    <col min="6919" max="6919" width="22" style="90" customWidth="1"/>
    <col min="6920" max="7168" width="9.140625" style="90"/>
    <col min="7169" max="7169" width="10.42578125" style="90" customWidth="1"/>
    <col min="7170" max="7170" width="37" style="90" customWidth="1"/>
    <col min="7171" max="7171" width="14.42578125" style="90" customWidth="1"/>
    <col min="7172" max="7172" width="12" style="90" customWidth="1"/>
    <col min="7173" max="7173" width="13.140625" style="90" customWidth="1"/>
    <col min="7174" max="7174" width="9.140625" style="90"/>
    <col min="7175" max="7175" width="22" style="90" customWidth="1"/>
    <col min="7176" max="7424" width="9.140625" style="90"/>
    <col min="7425" max="7425" width="10.42578125" style="90" customWidth="1"/>
    <col min="7426" max="7426" width="37" style="90" customWidth="1"/>
    <col min="7427" max="7427" width="14.42578125" style="90" customWidth="1"/>
    <col min="7428" max="7428" width="12" style="90" customWidth="1"/>
    <col min="7429" max="7429" width="13.140625" style="90" customWidth="1"/>
    <col min="7430" max="7430" width="9.140625" style="90"/>
    <col min="7431" max="7431" width="22" style="90" customWidth="1"/>
    <col min="7432" max="7680" width="9.140625" style="90"/>
    <col min="7681" max="7681" width="10.42578125" style="90" customWidth="1"/>
    <col min="7682" max="7682" width="37" style="90" customWidth="1"/>
    <col min="7683" max="7683" width="14.42578125" style="90" customWidth="1"/>
    <col min="7684" max="7684" width="12" style="90" customWidth="1"/>
    <col min="7685" max="7685" width="13.140625" style="90" customWidth="1"/>
    <col min="7686" max="7686" width="9.140625" style="90"/>
    <col min="7687" max="7687" width="22" style="90" customWidth="1"/>
    <col min="7688" max="7936" width="9.140625" style="90"/>
    <col min="7937" max="7937" width="10.42578125" style="90" customWidth="1"/>
    <col min="7938" max="7938" width="37" style="90" customWidth="1"/>
    <col min="7939" max="7939" width="14.42578125" style="90" customWidth="1"/>
    <col min="7940" max="7940" width="12" style="90" customWidth="1"/>
    <col min="7941" max="7941" width="13.140625" style="90" customWidth="1"/>
    <col min="7942" max="7942" width="9.140625" style="90"/>
    <col min="7943" max="7943" width="22" style="90" customWidth="1"/>
    <col min="7944" max="8192" width="9.140625" style="90"/>
    <col min="8193" max="8193" width="10.42578125" style="90" customWidth="1"/>
    <col min="8194" max="8194" width="37" style="90" customWidth="1"/>
    <col min="8195" max="8195" width="14.42578125" style="90" customWidth="1"/>
    <col min="8196" max="8196" width="12" style="90" customWidth="1"/>
    <col min="8197" max="8197" width="13.140625" style="90" customWidth="1"/>
    <col min="8198" max="8198" width="9.140625" style="90"/>
    <col min="8199" max="8199" width="22" style="90" customWidth="1"/>
    <col min="8200" max="8448" width="9.140625" style="90"/>
    <col min="8449" max="8449" width="10.42578125" style="90" customWidth="1"/>
    <col min="8450" max="8450" width="37" style="90" customWidth="1"/>
    <col min="8451" max="8451" width="14.42578125" style="90" customWidth="1"/>
    <col min="8452" max="8452" width="12" style="90" customWidth="1"/>
    <col min="8453" max="8453" width="13.140625" style="90" customWidth="1"/>
    <col min="8454" max="8454" width="9.140625" style="90"/>
    <col min="8455" max="8455" width="22" style="90" customWidth="1"/>
    <col min="8456" max="8704" width="9.140625" style="90"/>
    <col min="8705" max="8705" width="10.42578125" style="90" customWidth="1"/>
    <col min="8706" max="8706" width="37" style="90" customWidth="1"/>
    <col min="8707" max="8707" width="14.42578125" style="90" customWidth="1"/>
    <col min="8708" max="8708" width="12" style="90" customWidth="1"/>
    <col min="8709" max="8709" width="13.140625" style="90" customWidth="1"/>
    <col min="8710" max="8710" width="9.140625" style="90"/>
    <col min="8711" max="8711" width="22" style="90" customWidth="1"/>
    <col min="8712" max="8960" width="9.140625" style="90"/>
    <col min="8961" max="8961" width="10.42578125" style="90" customWidth="1"/>
    <col min="8962" max="8962" width="37" style="90" customWidth="1"/>
    <col min="8963" max="8963" width="14.42578125" style="90" customWidth="1"/>
    <col min="8964" max="8964" width="12" style="90" customWidth="1"/>
    <col min="8965" max="8965" width="13.140625" style="90" customWidth="1"/>
    <col min="8966" max="8966" width="9.140625" style="90"/>
    <col min="8967" max="8967" width="22" style="90" customWidth="1"/>
    <col min="8968" max="9216" width="9.140625" style="90"/>
    <col min="9217" max="9217" width="10.42578125" style="90" customWidth="1"/>
    <col min="9218" max="9218" width="37" style="90" customWidth="1"/>
    <col min="9219" max="9219" width="14.42578125" style="90" customWidth="1"/>
    <col min="9220" max="9220" width="12" style="90" customWidth="1"/>
    <col min="9221" max="9221" width="13.140625" style="90" customWidth="1"/>
    <col min="9222" max="9222" width="9.140625" style="90"/>
    <col min="9223" max="9223" width="22" style="90" customWidth="1"/>
    <col min="9224" max="9472" width="9.140625" style="90"/>
    <col min="9473" max="9473" width="10.42578125" style="90" customWidth="1"/>
    <col min="9474" max="9474" width="37" style="90" customWidth="1"/>
    <col min="9475" max="9475" width="14.42578125" style="90" customWidth="1"/>
    <col min="9476" max="9476" width="12" style="90" customWidth="1"/>
    <col min="9477" max="9477" width="13.140625" style="90" customWidth="1"/>
    <col min="9478" max="9478" width="9.140625" style="90"/>
    <col min="9479" max="9479" width="22" style="90" customWidth="1"/>
    <col min="9480" max="9728" width="9.140625" style="90"/>
    <col min="9729" max="9729" width="10.42578125" style="90" customWidth="1"/>
    <col min="9730" max="9730" width="37" style="90" customWidth="1"/>
    <col min="9731" max="9731" width="14.42578125" style="90" customWidth="1"/>
    <col min="9732" max="9732" width="12" style="90" customWidth="1"/>
    <col min="9733" max="9733" width="13.140625" style="90" customWidth="1"/>
    <col min="9734" max="9734" width="9.140625" style="90"/>
    <col min="9735" max="9735" width="22" style="90" customWidth="1"/>
    <col min="9736" max="9984" width="9.140625" style="90"/>
    <col min="9985" max="9985" width="10.42578125" style="90" customWidth="1"/>
    <col min="9986" max="9986" width="37" style="90" customWidth="1"/>
    <col min="9987" max="9987" width="14.42578125" style="90" customWidth="1"/>
    <col min="9988" max="9988" width="12" style="90" customWidth="1"/>
    <col min="9989" max="9989" width="13.140625" style="90" customWidth="1"/>
    <col min="9990" max="9990" width="9.140625" style="90"/>
    <col min="9991" max="9991" width="22" style="90" customWidth="1"/>
    <col min="9992" max="10240" width="9.140625" style="90"/>
    <col min="10241" max="10241" width="10.42578125" style="90" customWidth="1"/>
    <col min="10242" max="10242" width="37" style="90" customWidth="1"/>
    <col min="10243" max="10243" width="14.42578125" style="90" customWidth="1"/>
    <col min="10244" max="10244" width="12" style="90" customWidth="1"/>
    <col min="10245" max="10245" width="13.140625" style="90" customWidth="1"/>
    <col min="10246" max="10246" width="9.140625" style="90"/>
    <col min="10247" max="10247" width="22" style="90" customWidth="1"/>
    <col min="10248" max="10496" width="9.140625" style="90"/>
    <col min="10497" max="10497" width="10.42578125" style="90" customWidth="1"/>
    <col min="10498" max="10498" width="37" style="90" customWidth="1"/>
    <col min="10499" max="10499" width="14.42578125" style="90" customWidth="1"/>
    <col min="10500" max="10500" width="12" style="90" customWidth="1"/>
    <col min="10501" max="10501" width="13.140625" style="90" customWidth="1"/>
    <col min="10502" max="10502" width="9.140625" style="90"/>
    <col min="10503" max="10503" width="22" style="90" customWidth="1"/>
    <col min="10504" max="10752" width="9.140625" style="90"/>
    <col min="10753" max="10753" width="10.42578125" style="90" customWidth="1"/>
    <col min="10754" max="10754" width="37" style="90" customWidth="1"/>
    <col min="10755" max="10755" width="14.42578125" style="90" customWidth="1"/>
    <col min="10756" max="10756" width="12" style="90" customWidth="1"/>
    <col min="10757" max="10757" width="13.140625" style="90" customWidth="1"/>
    <col min="10758" max="10758" width="9.140625" style="90"/>
    <col min="10759" max="10759" width="22" style="90" customWidth="1"/>
    <col min="10760" max="11008" width="9.140625" style="90"/>
    <col min="11009" max="11009" width="10.42578125" style="90" customWidth="1"/>
    <col min="11010" max="11010" width="37" style="90" customWidth="1"/>
    <col min="11011" max="11011" width="14.42578125" style="90" customWidth="1"/>
    <col min="11012" max="11012" width="12" style="90" customWidth="1"/>
    <col min="11013" max="11013" width="13.140625" style="90" customWidth="1"/>
    <col min="11014" max="11014" width="9.140625" style="90"/>
    <col min="11015" max="11015" width="22" style="90" customWidth="1"/>
    <col min="11016" max="11264" width="9.140625" style="90"/>
    <col min="11265" max="11265" width="10.42578125" style="90" customWidth="1"/>
    <col min="11266" max="11266" width="37" style="90" customWidth="1"/>
    <col min="11267" max="11267" width="14.42578125" style="90" customWidth="1"/>
    <col min="11268" max="11268" width="12" style="90" customWidth="1"/>
    <col min="11269" max="11269" width="13.140625" style="90" customWidth="1"/>
    <col min="11270" max="11270" width="9.140625" style="90"/>
    <col min="11271" max="11271" width="22" style="90" customWidth="1"/>
    <col min="11272" max="11520" width="9.140625" style="90"/>
    <col min="11521" max="11521" width="10.42578125" style="90" customWidth="1"/>
    <col min="11522" max="11522" width="37" style="90" customWidth="1"/>
    <col min="11523" max="11523" width="14.42578125" style="90" customWidth="1"/>
    <col min="11524" max="11524" width="12" style="90" customWidth="1"/>
    <col min="11525" max="11525" width="13.140625" style="90" customWidth="1"/>
    <col min="11526" max="11526" width="9.140625" style="90"/>
    <col min="11527" max="11527" width="22" style="90" customWidth="1"/>
    <col min="11528" max="11776" width="9.140625" style="90"/>
    <col min="11777" max="11777" width="10.42578125" style="90" customWidth="1"/>
    <col min="11778" max="11778" width="37" style="90" customWidth="1"/>
    <col min="11779" max="11779" width="14.42578125" style="90" customWidth="1"/>
    <col min="11780" max="11780" width="12" style="90" customWidth="1"/>
    <col min="11781" max="11781" width="13.140625" style="90" customWidth="1"/>
    <col min="11782" max="11782" width="9.140625" style="90"/>
    <col min="11783" max="11783" width="22" style="90" customWidth="1"/>
    <col min="11784" max="12032" width="9.140625" style="90"/>
    <col min="12033" max="12033" width="10.42578125" style="90" customWidth="1"/>
    <col min="12034" max="12034" width="37" style="90" customWidth="1"/>
    <col min="12035" max="12035" width="14.42578125" style="90" customWidth="1"/>
    <col min="12036" max="12036" width="12" style="90" customWidth="1"/>
    <col min="12037" max="12037" width="13.140625" style="90" customWidth="1"/>
    <col min="12038" max="12038" width="9.140625" style="90"/>
    <col min="12039" max="12039" width="22" style="90" customWidth="1"/>
    <col min="12040" max="12288" width="9.140625" style="90"/>
    <col min="12289" max="12289" width="10.42578125" style="90" customWidth="1"/>
    <col min="12290" max="12290" width="37" style="90" customWidth="1"/>
    <col min="12291" max="12291" width="14.42578125" style="90" customWidth="1"/>
    <col min="12292" max="12292" width="12" style="90" customWidth="1"/>
    <col min="12293" max="12293" width="13.140625" style="90" customWidth="1"/>
    <col min="12294" max="12294" width="9.140625" style="90"/>
    <col min="12295" max="12295" width="22" style="90" customWidth="1"/>
    <col min="12296" max="12544" width="9.140625" style="90"/>
    <col min="12545" max="12545" width="10.42578125" style="90" customWidth="1"/>
    <col min="12546" max="12546" width="37" style="90" customWidth="1"/>
    <col min="12547" max="12547" width="14.42578125" style="90" customWidth="1"/>
    <col min="12548" max="12548" width="12" style="90" customWidth="1"/>
    <col min="12549" max="12549" width="13.140625" style="90" customWidth="1"/>
    <col min="12550" max="12550" width="9.140625" style="90"/>
    <col min="12551" max="12551" width="22" style="90" customWidth="1"/>
    <col min="12552" max="12800" width="9.140625" style="90"/>
    <col min="12801" max="12801" width="10.42578125" style="90" customWidth="1"/>
    <col min="12802" max="12802" width="37" style="90" customWidth="1"/>
    <col min="12803" max="12803" width="14.42578125" style="90" customWidth="1"/>
    <col min="12804" max="12804" width="12" style="90" customWidth="1"/>
    <col min="12805" max="12805" width="13.140625" style="90" customWidth="1"/>
    <col min="12806" max="12806" width="9.140625" style="90"/>
    <col min="12807" max="12807" width="22" style="90" customWidth="1"/>
    <col min="12808" max="13056" width="9.140625" style="90"/>
    <col min="13057" max="13057" width="10.42578125" style="90" customWidth="1"/>
    <col min="13058" max="13058" width="37" style="90" customWidth="1"/>
    <col min="13059" max="13059" width="14.42578125" style="90" customWidth="1"/>
    <col min="13060" max="13060" width="12" style="90" customWidth="1"/>
    <col min="13061" max="13061" width="13.140625" style="90" customWidth="1"/>
    <col min="13062" max="13062" width="9.140625" style="90"/>
    <col min="13063" max="13063" width="22" style="90" customWidth="1"/>
    <col min="13064" max="13312" width="9.140625" style="90"/>
    <col min="13313" max="13313" width="10.42578125" style="90" customWidth="1"/>
    <col min="13314" max="13314" width="37" style="90" customWidth="1"/>
    <col min="13315" max="13315" width="14.42578125" style="90" customWidth="1"/>
    <col min="13316" max="13316" width="12" style="90" customWidth="1"/>
    <col min="13317" max="13317" width="13.140625" style="90" customWidth="1"/>
    <col min="13318" max="13318" width="9.140625" style="90"/>
    <col min="13319" max="13319" width="22" style="90" customWidth="1"/>
    <col min="13320" max="13568" width="9.140625" style="90"/>
    <col min="13569" max="13569" width="10.42578125" style="90" customWidth="1"/>
    <col min="13570" max="13570" width="37" style="90" customWidth="1"/>
    <col min="13571" max="13571" width="14.42578125" style="90" customWidth="1"/>
    <col min="13572" max="13572" width="12" style="90" customWidth="1"/>
    <col min="13573" max="13573" width="13.140625" style="90" customWidth="1"/>
    <col min="13574" max="13574" width="9.140625" style="90"/>
    <col min="13575" max="13575" width="22" style="90" customWidth="1"/>
    <col min="13576" max="13824" width="9.140625" style="90"/>
    <col min="13825" max="13825" width="10.42578125" style="90" customWidth="1"/>
    <col min="13826" max="13826" width="37" style="90" customWidth="1"/>
    <col min="13827" max="13827" width="14.42578125" style="90" customWidth="1"/>
    <col min="13828" max="13828" width="12" style="90" customWidth="1"/>
    <col min="13829" max="13829" width="13.140625" style="90" customWidth="1"/>
    <col min="13830" max="13830" width="9.140625" style="90"/>
    <col min="13831" max="13831" width="22" style="90" customWidth="1"/>
    <col min="13832" max="14080" width="9.140625" style="90"/>
    <col min="14081" max="14081" width="10.42578125" style="90" customWidth="1"/>
    <col min="14082" max="14082" width="37" style="90" customWidth="1"/>
    <col min="14083" max="14083" width="14.42578125" style="90" customWidth="1"/>
    <col min="14084" max="14084" width="12" style="90" customWidth="1"/>
    <col min="14085" max="14085" width="13.140625" style="90" customWidth="1"/>
    <col min="14086" max="14086" width="9.140625" style="90"/>
    <col min="14087" max="14087" width="22" style="90" customWidth="1"/>
    <col min="14088" max="14336" width="9.140625" style="90"/>
    <col min="14337" max="14337" width="10.42578125" style="90" customWidth="1"/>
    <col min="14338" max="14338" width="37" style="90" customWidth="1"/>
    <col min="14339" max="14339" width="14.42578125" style="90" customWidth="1"/>
    <col min="14340" max="14340" width="12" style="90" customWidth="1"/>
    <col min="14341" max="14341" width="13.140625" style="90" customWidth="1"/>
    <col min="14342" max="14342" width="9.140625" style="90"/>
    <col min="14343" max="14343" width="22" style="90" customWidth="1"/>
    <col min="14344" max="14592" width="9.140625" style="90"/>
    <col min="14593" max="14593" width="10.42578125" style="90" customWidth="1"/>
    <col min="14594" max="14594" width="37" style="90" customWidth="1"/>
    <col min="14595" max="14595" width="14.42578125" style="90" customWidth="1"/>
    <col min="14596" max="14596" width="12" style="90" customWidth="1"/>
    <col min="14597" max="14597" width="13.140625" style="90" customWidth="1"/>
    <col min="14598" max="14598" width="9.140625" style="90"/>
    <col min="14599" max="14599" width="22" style="90" customWidth="1"/>
    <col min="14600" max="14848" width="9.140625" style="90"/>
    <col min="14849" max="14849" width="10.42578125" style="90" customWidth="1"/>
    <col min="14850" max="14850" width="37" style="90" customWidth="1"/>
    <col min="14851" max="14851" width="14.42578125" style="90" customWidth="1"/>
    <col min="14852" max="14852" width="12" style="90" customWidth="1"/>
    <col min="14853" max="14853" width="13.140625" style="90" customWidth="1"/>
    <col min="14854" max="14854" width="9.140625" style="90"/>
    <col min="14855" max="14855" width="22" style="90" customWidth="1"/>
    <col min="14856" max="15104" width="9.140625" style="90"/>
    <col min="15105" max="15105" width="10.42578125" style="90" customWidth="1"/>
    <col min="15106" max="15106" width="37" style="90" customWidth="1"/>
    <col min="15107" max="15107" width="14.42578125" style="90" customWidth="1"/>
    <col min="15108" max="15108" width="12" style="90" customWidth="1"/>
    <col min="15109" max="15109" width="13.140625" style="90" customWidth="1"/>
    <col min="15110" max="15110" width="9.140625" style="90"/>
    <col min="15111" max="15111" width="22" style="90" customWidth="1"/>
    <col min="15112" max="15360" width="9.140625" style="90"/>
    <col min="15361" max="15361" width="10.42578125" style="90" customWidth="1"/>
    <col min="15362" max="15362" width="37" style="90" customWidth="1"/>
    <col min="15363" max="15363" width="14.42578125" style="90" customWidth="1"/>
    <col min="15364" max="15364" width="12" style="90" customWidth="1"/>
    <col min="15365" max="15365" width="13.140625" style="90" customWidth="1"/>
    <col min="15366" max="15366" width="9.140625" style="90"/>
    <col min="15367" max="15367" width="22" style="90" customWidth="1"/>
    <col min="15368" max="15616" width="9.140625" style="90"/>
    <col min="15617" max="15617" width="10.42578125" style="90" customWidth="1"/>
    <col min="15618" max="15618" width="37" style="90" customWidth="1"/>
    <col min="15619" max="15619" width="14.42578125" style="90" customWidth="1"/>
    <col min="15620" max="15620" width="12" style="90" customWidth="1"/>
    <col min="15621" max="15621" width="13.140625" style="90" customWidth="1"/>
    <col min="15622" max="15622" width="9.140625" style="90"/>
    <col min="15623" max="15623" width="22" style="90" customWidth="1"/>
    <col min="15624" max="15872" width="9.140625" style="90"/>
    <col min="15873" max="15873" width="10.42578125" style="90" customWidth="1"/>
    <col min="15874" max="15874" width="37" style="90" customWidth="1"/>
    <col min="15875" max="15875" width="14.42578125" style="90" customWidth="1"/>
    <col min="15876" max="15876" width="12" style="90" customWidth="1"/>
    <col min="15877" max="15877" width="13.140625" style="90" customWidth="1"/>
    <col min="15878" max="15878" width="9.140625" style="90"/>
    <col min="15879" max="15879" width="22" style="90" customWidth="1"/>
    <col min="15880" max="16128" width="9.140625" style="90"/>
    <col min="16129" max="16129" width="10.42578125" style="90" customWidth="1"/>
    <col min="16130" max="16130" width="37" style="90" customWidth="1"/>
    <col min="16131" max="16131" width="14.42578125" style="90" customWidth="1"/>
    <col min="16132" max="16132" width="12" style="90" customWidth="1"/>
    <col min="16133" max="16133" width="13.140625" style="90" customWidth="1"/>
    <col min="16134" max="16134" width="9.140625" style="90"/>
    <col min="16135" max="16135" width="22" style="90" customWidth="1"/>
    <col min="16136" max="16384" width="9.140625" style="90"/>
  </cols>
  <sheetData>
    <row r="1" spans="1:7" hidden="1"/>
    <row r="2" spans="1:7" ht="38.25" customHeight="1">
      <c r="B2" s="92"/>
      <c r="C2" s="204" t="s">
        <v>296</v>
      </c>
      <c r="D2" s="204"/>
      <c r="E2" s="204"/>
    </row>
    <row r="3" spans="1:7" ht="32.25" customHeight="1">
      <c r="A3" s="93"/>
      <c r="B3" s="93"/>
      <c r="C3" s="94"/>
      <c r="D3" s="94"/>
    </row>
    <row r="4" spans="1:7" ht="19.5" customHeight="1">
      <c r="A4" s="196" t="s">
        <v>302</v>
      </c>
      <c r="B4" s="196"/>
      <c r="C4" s="196"/>
      <c r="D4" s="196"/>
      <c r="E4" s="196"/>
      <c r="G4" s="77"/>
    </row>
    <row r="5" spans="1:7" ht="19.5" customHeight="1">
      <c r="A5" s="196" t="s">
        <v>303</v>
      </c>
      <c r="B5" s="196"/>
      <c r="C5" s="196"/>
      <c r="D5" s="196"/>
      <c r="E5" s="196"/>
      <c r="G5" s="77"/>
    </row>
    <row r="6" spans="1:7" ht="19.5" customHeight="1">
      <c r="A6" s="197" t="s">
        <v>286</v>
      </c>
      <c r="B6" s="197"/>
      <c r="C6" s="197"/>
      <c r="D6" s="197"/>
      <c r="E6" s="197"/>
    </row>
    <row r="7" spans="1:7" ht="19.5" customHeight="1">
      <c r="A7" s="197" t="s">
        <v>295</v>
      </c>
      <c r="B7" s="197"/>
      <c r="C7" s="197"/>
      <c r="D7" s="197"/>
      <c r="E7" s="197"/>
    </row>
    <row r="8" spans="1:7" ht="19.5" customHeight="1">
      <c r="A8" s="203"/>
      <c r="B8" s="203"/>
      <c r="C8" s="203"/>
      <c r="D8" s="203"/>
      <c r="E8" s="203"/>
    </row>
    <row r="9" spans="1:7" ht="16.5" customHeight="1">
      <c r="E9" s="95" t="s">
        <v>147</v>
      </c>
    </row>
    <row r="10" spans="1:7" ht="17.25" customHeight="1">
      <c r="A10" s="205" t="s">
        <v>140</v>
      </c>
      <c r="B10" s="205" t="s">
        <v>0</v>
      </c>
      <c r="C10" s="205" t="s">
        <v>258</v>
      </c>
      <c r="D10" s="205"/>
      <c r="E10" s="205"/>
    </row>
    <row r="11" spans="1:7" ht="67.5" customHeight="1">
      <c r="A11" s="205"/>
      <c r="B11" s="205"/>
      <c r="C11" s="96" t="s">
        <v>148</v>
      </c>
      <c r="D11" s="96" t="s">
        <v>149</v>
      </c>
      <c r="E11" s="97" t="s">
        <v>150</v>
      </c>
    </row>
    <row r="12" spans="1:7">
      <c r="A12" s="97">
        <v>1</v>
      </c>
      <c r="B12" s="97">
        <v>2</v>
      </c>
      <c r="C12" s="98">
        <v>3</v>
      </c>
      <c r="D12" s="98">
        <v>4</v>
      </c>
      <c r="E12" s="98">
        <v>5</v>
      </c>
    </row>
    <row r="13" spans="1:7">
      <c r="A13" s="72">
        <v>1</v>
      </c>
      <c r="B13" s="55" t="s">
        <v>1</v>
      </c>
      <c r="C13" s="176">
        <v>2201.79</v>
      </c>
      <c r="D13" s="176">
        <v>2087.2199999999998</v>
      </c>
      <c r="E13" s="176">
        <f t="shared" ref="E13:E19" si="0">C13-D13</f>
        <v>114.57000000000016</v>
      </c>
    </row>
    <row r="14" spans="1:7">
      <c r="A14" s="99">
        <v>2</v>
      </c>
      <c r="B14" s="100" t="s">
        <v>45</v>
      </c>
      <c r="C14" s="177">
        <v>841.14</v>
      </c>
      <c r="D14" s="177">
        <v>827.14</v>
      </c>
      <c r="E14" s="176">
        <f t="shared" si="0"/>
        <v>14</v>
      </c>
    </row>
    <row r="15" spans="1:7">
      <c r="A15" s="99">
        <v>3</v>
      </c>
      <c r="B15" s="100" t="s">
        <v>224</v>
      </c>
      <c r="C15" s="177">
        <v>729.34</v>
      </c>
      <c r="D15" s="177">
        <v>712.66</v>
      </c>
      <c r="E15" s="176">
        <f t="shared" si="0"/>
        <v>16.680000000000064</v>
      </c>
    </row>
    <row r="16" spans="1:7" ht="31.5">
      <c r="A16" s="99">
        <v>4</v>
      </c>
      <c r="B16" s="55" t="s">
        <v>89</v>
      </c>
      <c r="C16" s="177">
        <v>0</v>
      </c>
      <c r="D16" s="177">
        <v>0</v>
      </c>
      <c r="E16" s="176">
        <f t="shared" si="0"/>
        <v>0</v>
      </c>
    </row>
    <row r="17" spans="1:5" ht="31.5">
      <c r="A17" s="99">
        <v>5</v>
      </c>
      <c r="B17" s="55" t="s">
        <v>225</v>
      </c>
      <c r="C17" s="177">
        <v>0</v>
      </c>
      <c r="D17" s="178">
        <v>0</v>
      </c>
      <c r="E17" s="176">
        <f t="shared" si="0"/>
        <v>0</v>
      </c>
    </row>
    <row r="18" spans="1:5" ht="47.25">
      <c r="A18" s="99">
        <v>6</v>
      </c>
      <c r="B18" s="55" t="s">
        <v>226</v>
      </c>
      <c r="C18" s="177">
        <v>300</v>
      </c>
      <c r="D18" s="177">
        <v>300</v>
      </c>
      <c r="E18" s="176">
        <f t="shared" si="0"/>
        <v>0</v>
      </c>
    </row>
    <row r="19" spans="1:5" ht="31.5">
      <c r="A19" s="99">
        <v>7</v>
      </c>
      <c r="B19" s="55" t="s">
        <v>276</v>
      </c>
      <c r="C19" s="177">
        <v>0</v>
      </c>
      <c r="D19" s="177">
        <v>0</v>
      </c>
      <c r="E19" s="176">
        <f t="shared" si="0"/>
        <v>0</v>
      </c>
    </row>
    <row r="20" spans="1:5">
      <c r="A20" s="101">
        <v>8</v>
      </c>
      <c r="B20" s="55" t="s">
        <v>227</v>
      </c>
      <c r="C20" s="177">
        <f>C13+C14+C15+C17+C18</f>
        <v>4072.27</v>
      </c>
      <c r="D20" s="177">
        <f>D13+D14+D15+D17+D18</f>
        <v>3927.0199999999995</v>
      </c>
      <c r="E20" s="177">
        <f>SUM(E13:E19)</f>
        <v>145.25000000000023</v>
      </c>
    </row>
    <row r="21" spans="1:5">
      <c r="E21" s="179"/>
    </row>
  </sheetData>
  <mergeCells count="9">
    <mergeCell ref="C2:E2"/>
    <mergeCell ref="A4:E4"/>
    <mergeCell ref="A6:E6"/>
    <mergeCell ref="A10:A11"/>
    <mergeCell ref="B10:B11"/>
    <mergeCell ref="C10:E10"/>
    <mergeCell ref="A7:E7"/>
    <mergeCell ref="A8:E8"/>
    <mergeCell ref="A5:E5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workbookViewId="0">
      <selection activeCell="J35" sqref="J35"/>
    </sheetView>
  </sheetViews>
  <sheetFormatPr defaultRowHeight="1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>
      <c r="A1" s="102"/>
      <c r="B1" s="102"/>
      <c r="C1" s="206" t="s">
        <v>228</v>
      </c>
      <c r="D1" s="206"/>
      <c r="E1" s="206"/>
    </row>
    <row r="2" spans="1:8" ht="18.75">
      <c r="B2" s="103"/>
      <c r="C2" s="103"/>
      <c r="D2" s="103"/>
      <c r="E2" s="103"/>
    </row>
    <row r="3" spans="1:8" ht="18.75">
      <c r="A3" s="207" t="s">
        <v>229</v>
      </c>
      <c r="B3" s="207"/>
      <c r="C3" s="207"/>
      <c r="D3" s="207"/>
      <c r="E3" s="207"/>
    </row>
    <row r="4" spans="1:8" ht="18.75" customHeight="1">
      <c r="A4" s="197" t="s">
        <v>208</v>
      </c>
      <c r="B4" s="197"/>
      <c r="C4" s="197"/>
      <c r="D4" s="197"/>
      <c r="E4" s="197"/>
      <c r="F4" s="77" t="s">
        <v>230</v>
      </c>
      <c r="G4" s="78"/>
      <c r="H4" s="78"/>
    </row>
    <row r="5" spans="1:8" ht="18.75">
      <c r="A5" s="208"/>
      <c r="B5" s="208"/>
      <c r="C5" s="208"/>
      <c r="D5" s="208"/>
      <c r="E5" s="208"/>
      <c r="F5" s="78"/>
      <c r="G5" s="78"/>
      <c r="H5" s="78"/>
    </row>
    <row r="6" spans="1:8" ht="18.75">
      <c r="A6" s="104"/>
      <c r="B6" s="104"/>
      <c r="C6" s="104"/>
      <c r="D6" s="104"/>
      <c r="E6" s="104"/>
      <c r="F6" s="78"/>
      <c r="G6" s="78"/>
      <c r="H6" s="78"/>
    </row>
    <row r="7" spans="1:8" ht="15.75" customHeight="1">
      <c r="A7" s="198" t="s">
        <v>140</v>
      </c>
      <c r="B7" s="198" t="s">
        <v>162</v>
      </c>
      <c r="C7" s="201" t="s">
        <v>231</v>
      </c>
      <c r="D7" s="202"/>
      <c r="E7" s="198" t="s">
        <v>150</v>
      </c>
    </row>
    <row r="8" spans="1:8" ht="15.75">
      <c r="A8" s="200"/>
      <c r="B8" s="200"/>
      <c r="C8" s="79" t="s">
        <v>163</v>
      </c>
      <c r="D8" s="79" t="s">
        <v>149</v>
      </c>
      <c r="E8" s="200"/>
    </row>
    <row r="9" spans="1:8" s="53" customFormat="1" ht="15.75">
      <c r="A9" s="79">
        <v>1</v>
      </c>
      <c r="B9" s="79">
        <v>2</v>
      </c>
      <c r="C9" s="79">
        <v>3</v>
      </c>
      <c r="D9" s="79">
        <v>4</v>
      </c>
      <c r="E9" s="79">
        <v>5</v>
      </c>
    </row>
    <row r="10" spans="1:8" ht="94.5">
      <c r="A10" s="79" t="s">
        <v>146</v>
      </c>
      <c r="B10" s="3" t="s">
        <v>164</v>
      </c>
      <c r="C10" s="83"/>
      <c r="D10" s="83"/>
      <c r="E10" s="83">
        <f t="shared" ref="E10:E15" si="0">+C10-D10</f>
        <v>0</v>
      </c>
    </row>
    <row r="11" spans="1:8" ht="15.75">
      <c r="A11" s="79" t="s">
        <v>44</v>
      </c>
      <c r="B11" s="54" t="s">
        <v>116</v>
      </c>
      <c r="C11" s="4"/>
      <c r="D11" s="4"/>
      <c r="E11" s="83">
        <f t="shared" si="0"/>
        <v>0</v>
      </c>
    </row>
    <row r="12" spans="1:8" ht="15.75">
      <c r="A12" s="79" t="s">
        <v>64</v>
      </c>
      <c r="B12" s="54" t="s">
        <v>117</v>
      </c>
      <c r="C12" s="48"/>
      <c r="D12" s="48"/>
      <c r="E12" s="83">
        <f t="shared" si="0"/>
        <v>0</v>
      </c>
    </row>
    <row r="13" spans="1:8" ht="19.149999999999999" hidden="1" customHeight="1">
      <c r="A13" s="79">
        <v>4</v>
      </c>
      <c r="B13" s="105" t="s">
        <v>118</v>
      </c>
      <c r="C13" s="83"/>
      <c r="D13" s="83"/>
      <c r="E13" s="83">
        <f t="shared" si="0"/>
        <v>0</v>
      </c>
    </row>
    <row r="14" spans="1:8" ht="15.75">
      <c r="A14" s="79" t="s">
        <v>98</v>
      </c>
      <c r="B14" s="105" t="s">
        <v>165</v>
      </c>
      <c r="C14" s="83"/>
      <c r="D14" s="83"/>
      <c r="E14" s="83">
        <f t="shared" si="0"/>
        <v>0</v>
      </c>
    </row>
    <row r="15" spans="1:8" ht="41.25" hidden="1" customHeight="1">
      <c r="A15" s="79" t="s">
        <v>157</v>
      </c>
      <c r="B15" s="105" t="s">
        <v>232</v>
      </c>
      <c r="C15" s="83"/>
      <c r="D15" s="83"/>
      <c r="E15" s="83">
        <f t="shared" si="0"/>
        <v>0</v>
      </c>
    </row>
    <row r="16" spans="1:8" ht="30" hidden="1" customHeight="1">
      <c r="A16" s="79" t="s">
        <v>106</v>
      </c>
      <c r="B16" s="3" t="s">
        <v>114</v>
      </c>
      <c r="C16" s="83"/>
      <c r="D16" s="83"/>
      <c r="E16" s="83">
        <f>SUM(E10:E15)</f>
        <v>0</v>
      </c>
    </row>
    <row r="17" ht="12.75" hidden="1" customHeight="1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E27" sqref="E27"/>
    </sheetView>
  </sheetViews>
  <sheetFormatPr defaultRowHeight="12.75" outlineLevelCol="1"/>
  <cols>
    <col min="1" max="1" width="7.42578125" style="106" customWidth="1"/>
    <col min="2" max="2" width="38" style="106" customWidth="1"/>
    <col min="3" max="3" width="14.140625" style="106" customWidth="1"/>
    <col min="4" max="4" width="14.140625" style="106" customWidth="1" outlineLevel="1"/>
    <col min="5" max="5" width="14.140625" style="106" customWidth="1"/>
    <col min="6" max="6" width="27.42578125" style="106" customWidth="1"/>
    <col min="7" max="7" width="23.7109375" style="106" customWidth="1"/>
    <col min="8" max="256" width="9.140625" style="106"/>
    <col min="257" max="257" width="7.42578125" style="106" customWidth="1"/>
    <col min="258" max="258" width="38" style="106" customWidth="1"/>
    <col min="259" max="261" width="14.140625" style="106" customWidth="1"/>
    <col min="262" max="262" width="27.42578125" style="106" customWidth="1"/>
    <col min="263" max="512" width="9.140625" style="106"/>
    <col min="513" max="513" width="7.42578125" style="106" customWidth="1"/>
    <col min="514" max="514" width="38" style="106" customWidth="1"/>
    <col min="515" max="517" width="14.140625" style="106" customWidth="1"/>
    <col min="518" max="518" width="27.42578125" style="106" customWidth="1"/>
    <col min="519" max="768" width="9.140625" style="106"/>
    <col min="769" max="769" width="7.42578125" style="106" customWidth="1"/>
    <col min="770" max="770" width="38" style="106" customWidth="1"/>
    <col min="771" max="773" width="14.140625" style="106" customWidth="1"/>
    <col min="774" max="774" width="27.42578125" style="106" customWidth="1"/>
    <col min="775" max="1024" width="9.140625" style="106"/>
    <col min="1025" max="1025" width="7.42578125" style="106" customWidth="1"/>
    <col min="1026" max="1026" width="38" style="106" customWidth="1"/>
    <col min="1027" max="1029" width="14.140625" style="106" customWidth="1"/>
    <col min="1030" max="1030" width="27.42578125" style="106" customWidth="1"/>
    <col min="1031" max="1280" width="9.140625" style="106"/>
    <col min="1281" max="1281" width="7.42578125" style="106" customWidth="1"/>
    <col min="1282" max="1282" width="38" style="106" customWidth="1"/>
    <col min="1283" max="1285" width="14.140625" style="106" customWidth="1"/>
    <col min="1286" max="1286" width="27.42578125" style="106" customWidth="1"/>
    <col min="1287" max="1536" width="9.140625" style="106"/>
    <col min="1537" max="1537" width="7.42578125" style="106" customWidth="1"/>
    <col min="1538" max="1538" width="38" style="106" customWidth="1"/>
    <col min="1539" max="1541" width="14.140625" style="106" customWidth="1"/>
    <col min="1542" max="1542" width="27.42578125" style="106" customWidth="1"/>
    <col min="1543" max="1792" width="9.140625" style="106"/>
    <col min="1793" max="1793" width="7.42578125" style="106" customWidth="1"/>
    <col min="1794" max="1794" width="38" style="106" customWidth="1"/>
    <col min="1795" max="1797" width="14.140625" style="106" customWidth="1"/>
    <col min="1798" max="1798" width="27.42578125" style="106" customWidth="1"/>
    <col min="1799" max="2048" width="9.140625" style="106"/>
    <col min="2049" max="2049" width="7.42578125" style="106" customWidth="1"/>
    <col min="2050" max="2050" width="38" style="106" customWidth="1"/>
    <col min="2051" max="2053" width="14.140625" style="106" customWidth="1"/>
    <col min="2054" max="2054" width="27.42578125" style="106" customWidth="1"/>
    <col min="2055" max="2304" width="9.140625" style="106"/>
    <col min="2305" max="2305" width="7.42578125" style="106" customWidth="1"/>
    <col min="2306" max="2306" width="38" style="106" customWidth="1"/>
    <col min="2307" max="2309" width="14.140625" style="106" customWidth="1"/>
    <col min="2310" max="2310" width="27.42578125" style="106" customWidth="1"/>
    <col min="2311" max="2560" width="9.140625" style="106"/>
    <col min="2561" max="2561" width="7.42578125" style="106" customWidth="1"/>
    <col min="2562" max="2562" width="38" style="106" customWidth="1"/>
    <col min="2563" max="2565" width="14.140625" style="106" customWidth="1"/>
    <col min="2566" max="2566" width="27.42578125" style="106" customWidth="1"/>
    <col min="2567" max="2816" width="9.140625" style="106"/>
    <col min="2817" max="2817" width="7.42578125" style="106" customWidth="1"/>
    <col min="2818" max="2818" width="38" style="106" customWidth="1"/>
    <col min="2819" max="2821" width="14.140625" style="106" customWidth="1"/>
    <col min="2822" max="2822" width="27.42578125" style="106" customWidth="1"/>
    <col min="2823" max="3072" width="9.140625" style="106"/>
    <col min="3073" max="3073" width="7.42578125" style="106" customWidth="1"/>
    <col min="3074" max="3074" width="38" style="106" customWidth="1"/>
    <col min="3075" max="3077" width="14.140625" style="106" customWidth="1"/>
    <col min="3078" max="3078" width="27.42578125" style="106" customWidth="1"/>
    <col min="3079" max="3328" width="9.140625" style="106"/>
    <col min="3329" max="3329" width="7.42578125" style="106" customWidth="1"/>
    <col min="3330" max="3330" width="38" style="106" customWidth="1"/>
    <col min="3331" max="3333" width="14.140625" style="106" customWidth="1"/>
    <col min="3334" max="3334" width="27.42578125" style="106" customWidth="1"/>
    <col min="3335" max="3584" width="9.140625" style="106"/>
    <col min="3585" max="3585" width="7.42578125" style="106" customWidth="1"/>
    <col min="3586" max="3586" width="38" style="106" customWidth="1"/>
    <col min="3587" max="3589" width="14.140625" style="106" customWidth="1"/>
    <col min="3590" max="3590" width="27.42578125" style="106" customWidth="1"/>
    <col min="3591" max="3840" width="9.140625" style="106"/>
    <col min="3841" max="3841" width="7.42578125" style="106" customWidth="1"/>
    <col min="3842" max="3842" width="38" style="106" customWidth="1"/>
    <col min="3843" max="3845" width="14.140625" style="106" customWidth="1"/>
    <col min="3846" max="3846" width="27.42578125" style="106" customWidth="1"/>
    <col min="3847" max="4096" width="9.140625" style="106"/>
    <col min="4097" max="4097" width="7.42578125" style="106" customWidth="1"/>
    <col min="4098" max="4098" width="38" style="106" customWidth="1"/>
    <col min="4099" max="4101" width="14.140625" style="106" customWidth="1"/>
    <col min="4102" max="4102" width="27.42578125" style="106" customWidth="1"/>
    <col min="4103" max="4352" width="9.140625" style="106"/>
    <col min="4353" max="4353" width="7.42578125" style="106" customWidth="1"/>
    <col min="4354" max="4354" width="38" style="106" customWidth="1"/>
    <col min="4355" max="4357" width="14.140625" style="106" customWidth="1"/>
    <col min="4358" max="4358" width="27.42578125" style="106" customWidth="1"/>
    <col min="4359" max="4608" width="9.140625" style="106"/>
    <col min="4609" max="4609" width="7.42578125" style="106" customWidth="1"/>
    <col min="4610" max="4610" width="38" style="106" customWidth="1"/>
    <col min="4611" max="4613" width="14.140625" style="106" customWidth="1"/>
    <col min="4614" max="4614" width="27.42578125" style="106" customWidth="1"/>
    <col min="4615" max="4864" width="9.140625" style="106"/>
    <col min="4865" max="4865" width="7.42578125" style="106" customWidth="1"/>
    <col min="4866" max="4866" width="38" style="106" customWidth="1"/>
    <col min="4867" max="4869" width="14.140625" style="106" customWidth="1"/>
    <col min="4870" max="4870" width="27.42578125" style="106" customWidth="1"/>
    <col min="4871" max="5120" width="9.140625" style="106"/>
    <col min="5121" max="5121" width="7.42578125" style="106" customWidth="1"/>
    <col min="5122" max="5122" width="38" style="106" customWidth="1"/>
    <col min="5123" max="5125" width="14.140625" style="106" customWidth="1"/>
    <col min="5126" max="5126" width="27.42578125" style="106" customWidth="1"/>
    <col min="5127" max="5376" width="9.140625" style="106"/>
    <col min="5377" max="5377" width="7.42578125" style="106" customWidth="1"/>
    <col min="5378" max="5378" width="38" style="106" customWidth="1"/>
    <col min="5379" max="5381" width="14.140625" style="106" customWidth="1"/>
    <col min="5382" max="5382" width="27.42578125" style="106" customWidth="1"/>
    <col min="5383" max="5632" width="9.140625" style="106"/>
    <col min="5633" max="5633" width="7.42578125" style="106" customWidth="1"/>
    <col min="5634" max="5634" width="38" style="106" customWidth="1"/>
    <col min="5635" max="5637" width="14.140625" style="106" customWidth="1"/>
    <col min="5638" max="5638" width="27.42578125" style="106" customWidth="1"/>
    <col min="5639" max="5888" width="9.140625" style="106"/>
    <col min="5889" max="5889" width="7.42578125" style="106" customWidth="1"/>
    <col min="5890" max="5890" width="38" style="106" customWidth="1"/>
    <col min="5891" max="5893" width="14.140625" style="106" customWidth="1"/>
    <col min="5894" max="5894" width="27.42578125" style="106" customWidth="1"/>
    <col min="5895" max="6144" width="9.140625" style="106"/>
    <col min="6145" max="6145" width="7.42578125" style="106" customWidth="1"/>
    <col min="6146" max="6146" width="38" style="106" customWidth="1"/>
    <col min="6147" max="6149" width="14.140625" style="106" customWidth="1"/>
    <col min="6150" max="6150" width="27.42578125" style="106" customWidth="1"/>
    <col min="6151" max="6400" width="9.140625" style="106"/>
    <col min="6401" max="6401" width="7.42578125" style="106" customWidth="1"/>
    <col min="6402" max="6402" width="38" style="106" customWidth="1"/>
    <col min="6403" max="6405" width="14.140625" style="106" customWidth="1"/>
    <col min="6406" max="6406" width="27.42578125" style="106" customWidth="1"/>
    <col min="6407" max="6656" width="9.140625" style="106"/>
    <col min="6657" max="6657" width="7.42578125" style="106" customWidth="1"/>
    <col min="6658" max="6658" width="38" style="106" customWidth="1"/>
    <col min="6659" max="6661" width="14.140625" style="106" customWidth="1"/>
    <col min="6662" max="6662" width="27.42578125" style="106" customWidth="1"/>
    <col min="6663" max="6912" width="9.140625" style="106"/>
    <col min="6913" max="6913" width="7.42578125" style="106" customWidth="1"/>
    <col min="6914" max="6914" width="38" style="106" customWidth="1"/>
    <col min="6915" max="6917" width="14.140625" style="106" customWidth="1"/>
    <col min="6918" max="6918" width="27.42578125" style="106" customWidth="1"/>
    <col min="6919" max="7168" width="9.140625" style="106"/>
    <col min="7169" max="7169" width="7.42578125" style="106" customWidth="1"/>
    <col min="7170" max="7170" width="38" style="106" customWidth="1"/>
    <col min="7171" max="7173" width="14.140625" style="106" customWidth="1"/>
    <col min="7174" max="7174" width="27.42578125" style="106" customWidth="1"/>
    <col min="7175" max="7424" width="9.140625" style="106"/>
    <col min="7425" max="7425" width="7.42578125" style="106" customWidth="1"/>
    <col min="7426" max="7426" width="38" style="106" customWidth="1"/>
    <col min="7427" max="7429" width="14.140625" style="106" customWidth="1"/>
    <col min="7430" max="7430" width="27.42578125" style="106" customWidth="1"/>
    <col min="7431" max="7680" width="9.140625" style="106"/>
    <col min="7681" max="7681" width="7.42578125" style="106" customWidth="1"/>
    <col min="7682" max="7682" width="38" style="106" customWidth="1"/>
    <col min="7683" max="7685" width="14.140625" style="106" customWidth="1"/>
    <col min="7686" max="7686" width="27.42578125" style="106" customWidth="1"/>
    <col min="7687" max="7936" width="9.140625" style="106"/>
    <col min="7937" max="7937" width="7.42578125" style="106" customWidth="1"/>
    <col min="7938" max="7938" width="38" style="106" customWidth="1"/>
    <col min="7939" max="7941" width="14.140625" style="106" customWidth="1"/>
    <col min="7942" max="7942" width="27.42578125" style="106" customWidth="1"/>
    <col min="7943" max="8192" width="9.140625" style="106"/>
    <col min="8193" max="8193" width="7.42578125" style="106" customWidth="1"/>
    <col min="8194" max="8194" width="38" style="106" customWidth="1"/>
    <col min="8195" max="8197" width="14.140625" style="106" customWidth="1"/>
    <col min="8198" max="8198" width="27.42578125" style="106" customWidth="1"/>
    <col min="8199" max="8448" width="9.140625" style="106"/>
    <col min="8449" max="8449" width="7.42578125" style="106" customWidth="1"/>
    <col min="8450" max="8450" width="38" style="106" customWidth="1"/>
    <col min="8451" max="8453" width="14.140625" style="106" customWidth="1"/>
    <col min="8454" max="8454" width="27.42578125" style="106" customWidth="1"/>
    <col min="8455" max="8704" width="9.140625" style="106"/>
    <col min="8705" max="8705" width="7.42578125" style="106" customWidth="1"/>
    <col min="8706" max="8706" width="38" style="106" customWidth="1"/>
    <col min="8707" max="8709" width="14.140625" style="106" customWidth="1"/>
    <col min="8710" max="8710" width="27.42578125" style="106" customWidth="1"/>
    <col min="8711" max="8960" width="9.140625" style="106"/>
    <col min="8961" max="8961" width="7.42578125" style="106" customWidth="1"/>
    <col min="8962" max="8962" width="38" style="106" customWidth="1"/>
    <col min="8963" max="8965" width="14.140625" style="106" customWidth="1"/>
    <col min="8966" max="8966" width="27.42578125" style="106" customWidth="1"/>
    <col min="8967" max="9216" width="9.140625" style="106"/>
    <col min="9217" max="9217" width="7.42578125" style="106" customWidth="1"/>
    <col min="9218" max="9218" width="38" style="106" customWidth="1"/>
    <col min="9219" max="9221" width="14.140625" style="106" customWidth="1"/>
    <col min="9222" max="9222" width="27.42578125" style="106" customWidth="1"/>
    <col min="9223" max="9472" width="9.140625" style="106"/>
    <col min="9473" max="9473" width="7.42578125" style="106" customWidth="1"/>
    <col min="9474" max="9474" width="38" style="106" customWidth="1"/>
    <col min="9475" max="9477" width="14.140625" style="106" customWidth="1"/>
    <col min="9478" max="9478" width="27.42578125" style="106" customWidth="1"/>
    <col min="9479" max="9728" width="9.140625" style="106"/>
    <col min="9729" max="9729" width="7.42578125" style="106" customWidth="1"/>
    <col min="9730" max="9730" width="38" style="106" customWidth="1"/>
    <col min="9731" max="9733" width="14.140625" style="106" customWidth="1"/>
    <col min="9734" max="9734" width="27.42578125" style="106" customWidth="1"/>
    <col min="9735" max="9984" width="9.140625" style="106"/>
    <col min="9985" max="9985" width="7.42578125" style="106" customWidth="1"/>
    <col min="9986" max="9986" width="38" style="106" customWidth="1"/>
    <col min="9987" max="9989" width="14.140625" style="106" customWidth="1"/>
    <col min="9990" max="9990" width="27.42578125" style="106" customWidth="1"/>
    <col min="9991" max="10240" width="9.140625" style="106"/>
    <col min="10241" max="10241" width="7.42578125" style="106" customWidth="1"/>
    <col min="10242" max="10242" width="38" style="106" customWidth="1"/>
    <col min="10243" max="10245" width="14.140625" style="106" customWidth="1"/>
    <col min="10246" max="10246" width="27.42578125" style="106" customWidth="1"/>
    <col min="10247" max="10496" width="9.140625" style="106"/>
    <col min="10497" max="10497" width="7.42578125" style="106" customWidth="1"/>
    <col min="10498" max="10498" width="38" style="106" customWidth="1"/>
    <col min="10499" max="10501" width="14.140625" style="106" customWidth="1"/>
    <col min="10502" max="10502" width="27.42578125" style="106" customWidth="1"/>
    <col min="10503" max="10752" width="9.140625" style="106"/>
    <col min="10753" max="10753" width="7.42578125" style="106" customWidth="1"/>
    <col min="10754" max="10754" width="38" style="106" customWidth="1"/>
    <col min="10755" max="10757" width="14.140625" style="106" customWidth="1"/>
    <col min="10758" max="10758" width="27.42578125" style="106" customWidth="1"/>
    <col min="10759" max="11008" width="9.140625" style="106"/>
    <col min="11009" max="11009" width="7.42578125" style="106" customWidth="1"/>
    <col min="11010" max="11010" width="38" style="106" customWidth="1"/>
    <col min="11011" max="11013" width="14.140625" style="106" customWidth="1"/>
    <col min="11014" max="11014" width="27.42578125" style="106" customWidth="1"/>
    <col min="11015" max="11264" width="9.140625" style="106"/>
    <col min="11265" max="11265" width="7.42578125" style="106" customWidth="1"/>
    <col min="11266" max="11266" width="38" style="106" customWidth="1"/>
    <col min="11267" max="11269" width="14.140625" style="106" customWidth="1"/>
    <col min="11270" max="11270" width="27.42578125" style="106" customWidth="1"/>
    <col min="11271" max="11520" width="9.140625" style="106"/>
    <col min="11521" max="11521" width="7.42578125" style="106" customWidth="1"/>
    <col min="11522" max="11522" width="38" style="106" customWidth="1"/>
    <col min="11523" max="11525" width="14.140625" style="106" customWidth="1"/>
    <col min="11526" max="11526" width="27.42578125" style="106" customWidth="1"/>
    <col min="11527" max="11776" width="9.140625" style="106"/>
    <col min="11777" max="11777" width="7.42578125" style="106" customWidth="1"/>
    <col min="11778" max="11778" width="38" style="106" customWidth="1"/>
    <col min="11779" max="11781" width="14.140625" style="106" customWidth="1"/>
    <col min="11782" max="11782" width="27.42578125" style="106" customWidth="1"/>
    <col min="11783" max="12032" width="9.140625" style="106"/>
    <col min="12033" max="12033" width="7.42578125" style="106" customWidth="1"/>
    <col min="12034" max="12034" width="38" style="106" customWidth="1"/>
    <col min="12035" max="12037" width="14.140625" style="106" customWidth="1"/>
    <col min="12038" max="12038" width="27.42578125" style="106" customWidth="1"/>
    <col min="12039" max="12288" width="9.140625" style="106"/>
    <col min="12289" max="12289" width="7.42578125" style="106" customWidth="1"/>
    <col min="12290" max="12290" width="38" style="106" customWidth="1"/>
    <col min="12291" max="12293" width="14.140625" style="106" customWidth="1"/>
    <col min="12294" max="12294" width="27.42578125" style="106" customWidth="1"/>
    <col min="12295" max="12544" width="9.140625" style="106"/>
    <col min="12545" max="12545" width="7.42578125" style="106" customWidth="1"/>
    <col min="12546" max="12546" width="38" style="106" customWidth="1"/>
    <col min="12547" max="12549" width="14.140625" style="106" customWidth="1"/>
    <col min="12550" max="12550" width="27.42578125" style="106" customWidth="1"/>
    <col min="12551" max="12800" width="9.140625" style="106"/>
    <col min="12801" max="12801" width="7.42578125" style="106" customWidth="1"/>
    <col min="12802" max="12802" width="38" style="106" customWidth="1"/>
    <col min="12803" max="12805" width="14.140625" style="106" customWidth="1"/>
    <col min="12806" max="12806" width="27.42578125" style="106" customWidth="1"/>
    <col min="12807" max="13056" width="9.140625" style="106"/>
    <col min="13057" max="13057" width="7.42578125" style="106" customWidth="1"/>
    <col min="13058" max="13058" width="38" style="106" customWidth="1"/>
    <col min="13059" max="13061" width="14.140625" style="106" customWidth="1"/>
    <col min="13062" max="13062" width="27.42578125" style="106" customWidth="1"/>
    <col min="13063" max="13312" width="9.140625" style="106"/>
    <col min="13313" max="13313" width="7.42578125" style="106" customWidth="1"/>
    <col min="13314" max="13314" width="38" style="106" customWidth="1"/>
    <col min="13315" max="13317" width="14.140625" style="106" customWidth="1"/>
    <col min="13318" max="13318" width="27.42578125" style="106" customWidth="1"/>
    <col min="13319" max="13568" width="9.140625" style="106"/>
    <col min="13569" max="13569" width="7.42578125" style="106" customWidth="1"/>
    <col min="13570" max="13570" width="38" style="106" customWidth="1"/>
    <col min="13571" max="13573" width="14.140625" style="106" customWidth="1"/>
    <col min="13574" max="13574" width="27.42578125" style="106" customWidth="1"/>
    <col min="13575" max="13824" width="9.140625" style="106"/>
    <col min="13825" max="13825" width="7.42578125" style="106" customWidth="1"/>
    <col min="13826" max="13826" width="38" style="106" customWidth="1"/>
    <col min="13827" max="13829" width="14.140625" style="106" customWidth="1"/>
    <col min="13830" max="13830" width="27.42578125" style="106" customWidth="1"/>
    <col min="13831" max="14080" width="9.140625" style="106"/>
    <col min="14081" max="14081" width="7.42578125" style="106" customWidth="1"/>
    <col min="14082" max="14082" width="38" style="106" customWidth="1"/>
    <col min="14083" max="14085" width="14.140625" style="106" customWidth="1"/>
    <col min="14086" max="14086" width="27.42578125" style="106" customWidth="1"/>
    <col min="14087" max="14336" width="9.140625" style="106"/>
    <col min="14337" max="14337" width="7.42578125" style="106" customWidth="1"/>
    <col min="14338" max="14338" width="38" style="106" customWidth="1"/>
    <col min="14339" max="14341" width="14.140625" style="106" customWidth="1"/>
    <col min="14342" max="14342" width="27.42578125" style="106" customWidth="1"/>
    <col min="14343" max="14592" width="9.140625" style="106"/>
    <col min="14593" max="14593" width="7.42578125" style="106" customWidth="1"/>
    <col min="14594" max="14594" width="38" style="106" customWidth="1"/>
    <col min="14595" max="14597" width="14.140625" style="106" customWidth="1"/>
    <col min="14598" max="14598" width="27.42578125" style="106" customWidth="1"/>
    <col min="14599" max="14848" width="9.140625" style="106"/>
    <col min="14849" max="14849" width="7.42578125" style="106" customWidth="1"/>
    <col min="14850" max="14850" width="38" style="106" customWidth="1"/>
    <col min="14851" max="14853" width="14.140625" style="106" customWidth="1"/>
    <col min="14854" max="14854" width="27.42578125" style="106" customWidth="1"/>
    <col min="14855" max="15104" width="9.140625" style="106"/>
    <col min="15105" max="15105" width="7.42578125" style="106" customWidth="1"/>
    <col min="15106" max="15106" width="38" style="106" customWidth="1"/>
    <col min="15107" max="15109" width="14.140625" style="106" customWidth="1"/>
    <col min="15110" max="15110" width="27.42578125" style="106" customWidth="1"/>
    <col min="15111" max="15360" width="9.140625" style="106"/>
    <col min="15361" max="15361" width="7.42578125" style="106" customWidth="1"/>
    <col min="15362" max="15362" width="38" style="106" customWidth="1"/>
    <col min="15363" max="15365" width="14.140625" style="106" customWidth="1"/>
    <col min="15366" max="15366" width="27.42578125" style="106" customWidth="1"/>
    <col min="15367" max="15616" width="9.140625" style="106"/>
    <col min="15617" max="15617" width="7.42578125" style="106" customWidth="1"/>
    <col min="15618" max="15618" width="38" style="106" customWidth="1"/>
    <col min="15619" max="15621" width="14.140625" style="106" customWidth="1"/>
    <col min="15622" max="15622" width="27.42578125" style="106" customWidth="1"/>
    <col min="15623" max="15872" width="9.140625" style="106"/>
    <col min="15873" max="15873" width="7.42578125" style="106" customWidth="1"/>
    <col min="15874" max="15874" width="38" style="106" customWidth="1"/>
    <col min="15875" max="15877" width="14.140625" style="106" customWidth="1"/>
    <col min="15878" max="15878" width="27.42578125" style="106" customWidth="1"/>
    <col min="15879" max="16128" width="9.140625" style="106"/>
    <col min="16129" max="16129" width="7.42578125" style="106" customWidth="1"/>
    <col min="16130" max="16130" width="38" style="106" customWidth="1"/>
    <col min="16131" max="16133" width="14.140625" style="106" customWidth="1"/>
    <col min="16134" max="16134" width="27.42578125" style="106" customWidth="1"/>
    <col min="16135" max="16384" width="9.140625" style="106"/>
  </cols>
  <sheetData>
    <row r="1" spans="1:6" ht="36" customHeight="1">
      <c r="B1" s="107"/>
      <c r="C1" s="210" t="s">
        <v>305</v>
      </c>
      <c r="D1" s="210"/>
      <c r="E1" s="210"/>
    </row>
    <row r="2" spans="1:6" ht="18.75">
      <c r="A2" s="108"/>
      <c r="B2" s="109"/>
      <c r="C2" s="108"/>
      <c r="D2" s="108"/>
      <c r="E2" s="108"/>
      <c r="F2" s="77"/>
    </row>
    <row r="3" spans="1:6" ht="18.75">
      <c r="A3" s="211" t="s">
        <v>233</v>
      </c>
      <c r="B3" s="211"/>
      <c r="C3" s="211"/>
      <c r="D3" s="211"/>
      <c r="E3" s="211"/>
      <c r="F3" s="110"/>
    </row>
    <row r="4" spans="1:6" ht="18.75" customHeight="1">
      <c r="A4" s="197" t="s">
        <v>286</v>
      </c>
      <c r="B4" s="197"/>
      <c r="C4" s="197"/>
      <c r="D4" s="197"/>
      <c r="E4" s="197"/>
    </row>
    <row r="5" spans="1:6" ht="18.75" customHeight="1">
      <c r="A5" s="197" t="s">
        <v>295</v>
      </c>
      <c r="B5" s="197"/>
      <c r="C5" s="197"/>
      <c r="D5" s="197"/>
      <c r="E5" s="197"/>
    </row>
    <row r="6" spans="1:6" ht="18.75" customHeight="1">
      <c r="A6" s="203" t="s">
        <v>287</v>
      </c>
      <c r="B6" s="203"/>
      <c r="C6" s="203"/>
      <c r="D6" s="203"/>
      <c r="E6" s="203"/>
    </row>
    <row r="7" spans="1:6" ht="18.75">
      <c r="A7" s="73"/>
      <c r="B7" s="213"/>
      <c r="C7" s="213"/>
      <c r="D7" s="213"/>
      <c r="E7" s="73"/>
    </row>
    <row r="8" spans="1:6" ht="5.25" customHeight="1">
      <c r="A8" s="180"/>
      <c r="B8" s="189"/>
      <c r="C8" s="189"/>
      <c r="D8" s="189"/>
      <c r="E8" s="180"/>
    </row>
    <row r="9" spans="1:6" ht="1.5" hidden="1" customHeight="1">
      <c r="A9" s="180"/>
      <c r="B9" s="188"/>
      <c r="C9" s="188"/>
      <c r="D9" s="188"/>
      <c r="E9" s="180"/>
    </row>
    <row r="10" spans="1:6">
      <c r="A10" s="212" t="s">
        <v>140</v>
      </c>
      <c r="B10" s="212" t="s">
        <v>167</v>
      </c>
      <c r="C10" s="212" t="s">
        <v>168</v>
      </c>
      <c r="D10" s="212" t="s">
        <v>259</v>
      </c>
      <c r="E10" s="212" t="s">
        <v>260</v>
      </c>
    </row>
    <row r="11" spans="1:6" ht="19.5" customHeight="1">
      <c r="A11" s="212"/>
      <c r="B11" s="212"/>
      <c r="C11" s="212"/>
      <c r="D11" s="212"/>
      <c r="E11" s="212"/>
    </row>
    <row r="12" spans="1:6" ht="15" customHeight="1">
      <c r="A12" s="181">
        <v>1</v>
      </c>
      <c r="B12" s="181">
        <v>2</v>
      </c>
      <c r="C12" s="181">
        <v>3</v>
      </c>
      <c r="D12" s="181">
        <v>4</v>
      </c>
      <c r="E12" s="181">
        <v>5</v>
      </c>
    </row>
    <row r="13" spans="1:6" ht="31.5">
      <c r="A13" s="181">
        <v>1</v>
      </c>
      <c r="B13" s="111" t="s">
        <v>169</v>
      </c>
      <c r="C13" s="181" t="s">
        <v>170</v>
      </c>
      <c r="D13" s="114">
        <v>68.13</v>
      </c>
      <c r="E13" s="114">
        <v>65</v>
      </c>
      <c r="F13" s="110"/>
    </row>
    <row r="14" spans="1:6" ht="31.5">
      <c r="A14" s="174" t="s">
        <v>274</v>
      </c>
      <c r="B14" s="112" t="s">
        <v>275</v>
      </c>
      <c r="C14" s="181" t="s">
        <v>171</v>
      </c>
      <c r="D14" s="190">
        <v>0</v>
      </c>
      <c r="E14" s="190">
        <v>0</v>
      </c>
    </row>
    <row r="15" spans="1:6" ht="31.5">
      <c r="A15" s="174">
        <f t="shared" ref="A15:A16" si="0">A14+1</f>
        <v>3</v>
      </c>
      <c r="B15" s="112" t="s">
        <v>172</v>
      </c>
      <c r="C15" s="181" t="s">
        <v>173</v>
      </c>
      <c r="D15" s="113">
        <f>24*366</f>
        <v>8784</v>
      </c>
      <c r="E15" s="113">
        <v>8760</v>
      </c>
    </row>
    <row r="16" spans="1:6" ht="15.75">
      <c r="A16" s="174">
        <f t="shared" si="0"/>
        <v>4</v>
      </c>
      <c r="B16" s="111" t="s">
        <v>234</v>
      </c>
      <c r="C16" s="181" t="s">
        <v>235</v>
      </c>
      <c r="D16" s="113"/>
      <c r="E16" s="113"/>
    </row>
    <row r="17" spans="1:10" ht="15.75" customHeight="1">
      <c r="A17" s="174" t="s">
        <v>90</v>
      </c>
      <c r="B17" s="112" t="s">
        <v>289</v>
      </c>
      <c r="C17" s="181" t="s">
        <v>235</v>
      </c>
      <c r="D17" s="113">
        <v>0.13</v>
      </c>
      <c r="E17" s="114">
        <v>0.16</v>
      </c>
      <c r="G17" s="209" t="s">
        <v>297</v>
      </c>
      <c r="H17" s="209"/>
      <c r="I17" s="209"/>
      <c r="J17" s="209"/>
    </row>
  </sheetData>
  <mergeCells count="12">
    <mergeCell ref="G17:J17"/>
    <mergeCell ref="A4:E4"/>
    <mergeCell ref="C1:E1"/>
    <mergeCell ref="A3:E3"/>
    <mergeCell ref="A10:A11"/>
    <mergeCell ref="B10:B11"/>
    <mergeCell ref="C10:C11"/>
    <mergeCell ref="D10:D11"/>
    <mergeCell ref="E10:E11"/>
    <mergeCell ref="A5:E5"/>
    <mergeCell ref="A6:E6"/>
    <mergeCell ref="B7:D7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workbookViewId="0">
      <selection activeCell="D7" sqref="D7:D8"/>
    </sheetView>
  </sheetViews>
  <sheetFormatPr defaultRowHeight="1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164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>
      <c r="A1" s="115"/>
      <c r="B1" s="196" t="s">
        <v>236</v>
      </c>
      <c r="C1" s="196"/>
      <c r="D1" s="196"/>
      <c r="E1" s="196"/>
      <c r="F1" s="196"/>
      <c r="G1" s="196"/>
      <c r="H1" s="196"/>
      <c r="I1" s="116"/>
      <c r="J1" s="116"/>
      <c r="L1" s="117" t="s">
        <v>237</v>
      </c>
      <c r="M1" s="117"/>
      <c r="N1" s="117"/>
    </row>
    <row r="2" spans="1:14" ht="18.75" hidden="1">
      <c r="A2" s="115"/>
      <c r="B2" s="115"/>
      <c r="C2" s="115"/>
      <c r="D2" s="115"/>
      <c r="E2" s="118"/>
      <c r="F2" s="115"/>
      <c r="G2" s="115"/>
      <c r="H2" s="115"/>
    </row>
    <row r="3" spans="1:14" ht="48" customHeight="1">
      <c r="A3" s="196" t="s">
        <v>238</v>
      </c>
      <c r="B3" s="196"/>
      <c r="C3" s="196"/>
      <c r="D3" s="196"/>
      <c r="E3" s="196"/>
      <c r="F3" s="196"/>
      <c r="G3" s="196"/>
      <c r="H3" s="196"/>
    </row>
    <row r="4" spans="1:14" ht="18.75">
      <c r="A4" s="214" t="s">
        <v>239</v>
      </c>
      <c r="B4" s="214"/>
      <c r="C4" s="214"/>
      <c r="D4" s="214"/>
      <c r="E4" s="214"/>
      <c r="F4" s="214"/>
      <c r="G4" s="214"/>
      <c r="H4" s="214"/>
    </row>
    <row r="5" spans="1:14" ht="18.75">
      <c r="A5" s="214" t="s">
        <v>240</v>
      </c>
      <c r="B5" s="214"/>
      <c r="C5" s="214"/>
      <c r="D5" s="214"/>
      <c r="E5" s="214"/>
      <c r="F5" s="214"/>
      <c r="G5" s="214"/>
      <c r="H5" s="74"/>
    </row>
    <row r="6" spans="1:14" ht="19.5" thickBot="1">
      <c r="B6" s="74"/>
      <c r="C6" s="74"/>
      <c r="D6" s="74"/>
      <c r="E6" s="74"/>
      <c r="F6" s="74"/>
      <c r="H6" s="119" t="s">
        <v>147</v>
      </c>
    </row>
    <row r="7" spans="1:14" ht="84.6" customHeight="1">
      <c r="A7" s="217" t="s">
        <v>140</v>
      </c>
      <c r="B7" s="219" t="s">
        <v>0</v>
      </c>
      <c r="C7" s="215" t="s">
        <v>241</v>
      </c>
      <c r="D7" s="215" t="s">
        <v>242</v>
      </c>
      <c r="E7" s="215" t="s">
        <v>176</v>
      </c>
      <c r="F7" s="215" t="s">
        <v>243</v>
      </c>
      <c r="G7" s="215" t="s">
        <v>244</v>
      </c>
      <c r="H7" s="215" t="s">
        <v>245</v>
      </c>
      <c r="I7" s="120" t="s">
        <v>246</v>
      </c>
      <c r="J7" s="121" t="s">
        <v>247</v>
      </c>
      <c r="K7" s="122" t="s">
        <v>248</v>
      </c>
    </row>
    <row r="8" spans="1:14" ht="16.899999999999999" customHeight="1">
      <c r="A8" s="218"/>
      <c r="B8" s="220"/>
      <c r="C8" s="216"/>
      <c r="D8" s="216"/>
      <c r="E8" s="216"/>
      <c r="F8" s="216"/>
      <c r="G8" s="216"/>
      <c r="H8" s="216"/>
      <c r="I8" s="123"/>
      <c r="J8" s="124"/>
      <c r="K8" s="125"/>
    </row>
    <row r="9" spans="1:14" s="1" customFormat="1" ht="21" customHeight="1">
      <c r="A9" s="48">
        <v>1</v>
      </c>
      <c r="B9" s="48">
        <v>2</v>
      </c>
      <c r="C9" s="48">
        <v>3</v>
      </c>
      <c r="D9" s="48">
        <v>4</v>
      </c>
      <c r="E9" s="126"/>
      <c r="F9" s="127"/>
      <c r="G9" s="48">
        <v>5</v>
      </c>
      <c r="H9" s="128">
        <v>6</v>
      </c>
      <c r="I9" s="129" t="e">
        <f>I10+I11+I24+I25+I30+I32+I33+I41</f>
        <v>#REF!</v>
      </c>
      <c r="J9" s="48" t="e">
        <f>J10+J11+J24+J25+J30+J32+J33+J41</f>
        <v>#REF!</v>
      </c>
      <c r="K9" s="130" t="e">
        <f>K10+K11+K24+K25+K30+K32+K33+K41</f>
        <v>#REF!</v>
      </c>
    </row>
    <row r="10" spans="1:14" ht="34.15" customHeight="1">
      <c r="A10" s="48">
        <v>1</v>
      </c>
      <c r="B10" s="3" t="s">
        <v>1</v>
      </c>
      <c r="C10" s="3"/>
      <c r="D10" s="4"/>
      <c r="E10" s="48"/>
      <c r="F10" s="48"/>
      <c r="G10" s="48"/>
      <c r="H10" s="131" t="e">
        <f>G10/D10</f>
        <v>#DIV/0!</v>
      </c>
      <c r="I10" s="132"/>
      <c r="J10" s="48"/>
      <c r="K10" s="130"/>
    </row>
    <row r="11" spans="1:14" ht="39.75" hidden="1" customHeight="1">
      <c r="A11" s="48" t="s">
        <v>2</v>
      </c>
      <c r="B11" s="3" t="s">
        <v>3</v>
      </c>
      <c r="C11" s="3"/>
      <c r="D11" s="4"/>
      <c r="E11" s="133"/>
      <c r="F11" s="48"/>
      <c r="G11" s="4"/>
      <c r="H11" s="131" t="e">
        <f t="shared" ref="H11:H74" si="0">G11/D11</f>
        <v>#DIV/0!</v>
      </c>
      <c r="I11" s="129">
        <f>I12+I21</f>
        <v>2450.8999999999996</v>
      </c>
      <c r="J11" s="4">
        <f>J12+J21</f>
        <v>3675.2699999999995</v>
      </c>
      <c r="K11" s="51">
        <f>K12+K21</f>
        <v>3944.64</v>
      </c>
    </row>
    <row r="12" spans="1:14" ht="28.9" hidden="1" customHeight="1">
      <c r="A12" s="48" t="s">
        <v>4</v>
      </c>
      <c r="B12" s="3" t="s">
        <v>5</v>
      </c>
      <c r="C12" s="3"/>
      <c r="D12" s="4"/>
      <c r="E12" s="133"/>
      <c r="F12" s="48"/>
      <c r="G12" s="4"/>
      <c r="H12" s="131" t="e">
        <f t="shared" si="0"/>
        <v>#DIV/0!</v>
      </c>
      <c r="I12" s="129">
        <f>I13</f>
        <v>548.03</v>
      </c>
      <c r="J12" s="4">
        <f>J13</f>
        <v>821.28</v>
      </c>
      <c r="K12" s="51">
        <f>K13</f>
        <v>920.23</v>
      </c>
    </row>
    <row r="13" spans="1:14" ht="30" hidden="1" customHeight="1">
      <c r="A13" s="48" t="s">
        <v>6</v>
      </c>
      <c r="B13" s="3" t="s">
        <v>7</v>
      </c>
      <c r="C13" s="3"/>
      <c r="D13" s="4"/>
      <c r="E13" s="134"/>
      <c r="F13" s="4"/>
      <c r="G13" s="48"/>
      <c r="H13" s="131" t="e">
        <f t="shared" si="0"/>
        <v>#DIV/0!</v>
      </c>
      <c r="I13" s="132">
        <f>ROUND(I14*I15,2)</f>
        <v>548.03</v>
      </c>
      <c r="J13" s="48">
        <f>ROUND(J14*J15,2)</f>
        <v>821.28</v>
      </c>
      <c r="K13" s="130">
        <f>ROUND(K14*K15,2)</f>
        <v>920.23</v>
      </c>
    </row>
    <row r="14" spans="1:14" s="7" customFormat="1" ht="30" hidden="1" customHeight="1">
      <c r="A14" s="48" t="s">
        <v>8</v>
      </c>
      <c r="B14" s="3" t="s">
        <v>177</v>
      </c>
      <c r="C14" s="3"/>
      <c r="D14" s="135"/>
      <c r="E14" s="133"/>
      <c r="F14" s="48"/>
      <c r="G14" s="48"/>
      <c r="H14" s="131" t="e">
        <f t="shared" si="0"/>
        <v>#DIV/0!</v>
      </c>
      <c r="I14" s="136">
        <f>294.78-3.43</f>
        <v>291.34999999999997</v>
      </c>
      <c r="J14" s="43">
        <f>442.18-5.56</f>
        <v>436.62</v>
      </c>
      <c r="K14" s="137">
        <f>442.18+3.43+5.56</f>
        <v>451.17</v>
      </c>
    </row>
    <row r="15" spans="1:14" s="7" customFormat="1" ht="20.25" hidden="1" customHeight="1">
      <c r="A15" s="48"/>
      <c r="B15" s="3" t="s">
        <v>9</v>
      </c>
      <c r="C15" s="3"/>
      <c r="D15" s="9"/>
      <c r="E15" s="133"/>
      <c r="F15" s="48"/>
      <c r="G15" s="48"/>
      <c r="H15" s="131" t="e">
        <f t="shared" si="0"/>
        <v>#DIV/0!</v>
      </c>
      <c r="I15" s="136">
        <f>1.511+0.37</f>
        <v>1.8809999999999998</v>
      </c>
      <c r="J15" s="43">
        <f>1.511+0.37</f>
        <v>1.8809999999999998</v>
      </c>
      <c r="K15" s="138">
        <f>(1.511*1.105)+0.37</f>
        <v>2.0396549999999998</v>
      </c>
    </row>
    <row r="16" spans="1:14" ht="34.5" hidden="1" customHeight="1">
      <c r="A16" s="48"/>
      <c r="B16" s="3" t="s">
        <v>10</v>
      </c>
      <c r="C16" s="3"/>
      <c r="D16" s="48"/>
      <c r="E16" s="133"/>
      <c r="F16" s="48"/>
      <c r="G16" s="86"/>
      <c r="H16" s="131" t="e">
        <f t="shared" si="0"/>
        <v>#DIV/0!</v>
      </c>
      <c r="I16" s="132"/>
      <c r="J16" s="48"/>
      <c r="K16" s="130"/>
    </row>
    <row r="17" spans="1:11" s="7" customFormat="1" ht="16.149999999999999" hidden="1" customHeight="1">
      <c r="A17" s="48" t="s">
        <v>11</v>
      </c>
      <c r="B17" s="11" t="s">
        <v>249</v>
      </c>
      <c r="C17" s="11"/>
      <c r="D17" s="4"/>
      <c r="E17" s="133"/>
      <c r="F17" s="48"/>
      <c r="G17" s="48"/>
      <c r="H17" s="131" t="e">
        <f t="shared" si="0"/>
        <v>#DIV/0!</v>
      </c>
      <c r="I17" s="136"/>
      <c r="J17" s="43"/>
      <c r="K17" s="137"/>
    </row>
    <row r="18" spans="1:11" s="7" customFormat="1" ht="18.600000000000001" hidden="1" customHeight="1">
      <c r="A18" s="48"/>
      <c r="B18" s="3" t="s">
        <v>9</v>
      </c>
      <c r="C18" s="3"/>
      <c r="D18" s="48"/>
      <c r="E18" s="133"/>
      <c r="F18" s="48"/>
      <c r="G18" s="48"/>
      <c r="H18" s="131" t="e">
        <f t="shared" si="0"/>
        <v>#DIV/0!</v>
      </c>
      <c r="I18" s="136"/>
      <c r="J18" s="43"/>
      <c r="K18" s="137"/>
    </row>
    <row r="19" spans="1:11" ht="19.899999999999999" hidden="1" customHeight="1">
      <c r="A19" s="48"/>
      <c r="B19" s="3" t="s">
        <v>10</v>
      </c>
      <c r="C19" s="3"/>
      <c r="D19" s="48"/>
      <c r="E19" s="133"/>
      <c r="F19" s="48"/>
      <c r="G19" s="48"/>
      <c r="H19" s="131" t="e">
        <f t="shared" si="0"/>
        <v>#DIV/0!</v>
      </c>
      <c r="I19" s="132"/>
      <c r="J19" s="48"/>
      <c r="K19" s="130"/>
    </row>
    <row r="20" spans="1:11" ht="19.149999999999999" hidden="1" customHeight="1">
      <c r="A20" s="48" t="s">
        <v>12</v>
      </c>
      <c r="B20" s="3" t="s">
        <v>13</v>
      </c>
      <c r="C20" s="3"/>
      <c r="D20" s="4"/>
      <c r="E20" s="133"/>
      <c r="F20" s="48"/>
      <c r="G20" s="48"/>
      <c r="H20" s="131" t="e">
        <f t="shared" si="0"/>
        <v>#DIV/0!</v>
      </c>
      <c r="I20" s="132"/>
      <c r="J20" s="48"/>
      <c r="K20" s="130"/>
    </row>
    <row r="21" spans="1:11" ht="19.149999999999999" hidden="1" customHeight="1">
      <c r="A21" s="48" t="s">
        <v>14</v>
      </c>
      <c r="B21" s="3" t="s">
        <v>15</v>
      </c>
      <c r="C21" s="3"/>
      <c r="D21" s="4"/>
      <c r="E21" s="133"/>
      <c r="F21" s="48"/>
      <c r="G21" s="4"/>
      <c r="H21" s="131" t="e">
        <f t="shared" si="0"/>
        <v>#DIV/0!</v>
      </c>
      <c r="I21" s="129">
        <f>ROUND(I22*I23,2)</f>
        <v>1902.87</v>
      </c>
      <c r="J21" s="4">
        <f>ROUND(J22*J23,2)</f>
        <v>2853.99</v>
      </c>
      <c r="K21" s="51">
        <f>ROUND(K22*K23,2)</f>
        <v>3024.41</v>
      </c>
    </row>
    <row r="22" spans="1:11" s="7" customFormat="1" ht="19.149999999999999" hidden="1" customHeight="1">
      <c r="A22" s="48" t="s">
        <v>16</v>
      </c>
      <c r="B22" s="3" t="s">
        <v>250</v>
      </c>
      <c r="C22" s="3"/>
      <c r="D22" s="4"/>
      <c r="E22" s="4"/>
      <c r="F22" s="4"/>
      <c r="G22" s="48"/>
      <c r="H22" s="131" t="e">
        <f t="shared" si="0"/>
        <v>#DIV/0!</v>
      </c>
      <c r="I22" s="136">
        <v>124.86</v>
      </c>
      <c r="J22" s="43">
        <v>187.27</v>
      </c>
      <c r="K22" s="137">
        <v>187.27</v>
      </c>
    </row>
    <row r="23" spans="1:11" s="7" customFormat="1" ht="16.899999999999999" hidden="1" customHeight="1">
      <c r="A23" s="48" t="s">
        <v>17</v>
      </c>
      <c r="B23" s="3" t="s">
        <v>18</v>
      </c>
      <c r="C23" s="3"/>
      <c r="D23" s="48"/>
      <c r="E23" s="133"/>
      <c r="F23" s="48"/>
      <c r="G23" s="48"/>
      <c r="H23" s="131" t="e">
        <f t="shared" si="0"/>
        <v>#DIV/0!</v>
      </c>
      <c r="I23" s="136">
        <v>15.24</v>
      </c>
      <c r="J23" s="43">
        <v>15.24</v>
      </c>
      <c r="K23" s="137">
        <v>16.149999999999999</v>
      </c>
    </row>
    <row r="24" spans="1:11" ht="34.9" hidden="1" customHeight="1">
      <c r="A24" s="48" t="s">
        <v>19</v>
      </c>
      <c r="B24" s="3" t="s">
        <v>20</v>
      </c>
      <c r="C24" s="3"/>
      <c r="D24" s="48"/>
      <c r="E24" s="133"/>
      <c r="F24" s="48"/>
      <c r="G24" s="4"/>
      <c r="H24" s="131" t="e">
        <f t="shared" si="0"/>
        <v>#DIV/0!</v>
      </c>
      <c r="I24" s="132"/>
      <c r="J24" s="48"/>
      <c r="K24" s="130"/>
    </row>
    <row r="25" spans="1:11" ht="31.5" hidden="1">
      <c r="A25" s="48" t="s">
        <v>21</v>
      </c>
      <c r="B25" s="3" t="s">
        <v>22</v>
      </c>
      <c r="C25" s="3"/>
      <c r="D25" s="4"/>
      <c r="E25" s="133"/>
      <c r="F25" s="48"/>
      <c r="G25" s="4"/>
      <c r="H25" s="131" t="e">
        <f t="shared" si="0"/>
        <v>#DIV/0!</v>
      </c>
      <c r="I25" s="132" t="e">
        <f>ROUND((#REF!/10*4)/1000,2)</f>
        <v>#REF!</v>
      </c>
      <c r="J25" s="48" t="e">
        <f>ROUND((#REF!/10*6)/1000,2)</f>
        <v>#REF!</v>
      </c>
      <c r="K25" s="130" t="e">
        <f>ROUND((#REF!/1000),2)</f>
        <v>#REF!</v>
      </c>
    </row>
    <row r="26" spans="1:11" s="7" customFormat="1" ht="31.5" hidden="1">
      <c r="A26" s="48" t="s">
        <v>23</v>
      </c>
      <c r="B26" s="3" t="s">
        <v>24</v>
      </c>
      <c r="C26" s="3"/>
      <c r="D26" s="48"/>
      <c r="E26" s="133"/>
      <c r="F26" s="48"/>
      <c r="G26" s="48"/>
      <c r="H26" s="131" t="e">
        <f t="shared" si="0"/>
        <v>#DIV/0!</v>
      </c>
      <c r="I26" s="136">
        <v>2.4</v>
      </c>
      <c r="J26" s="43">
        <v>2.4</v>
      </c>
      <c r="K26" s="137">
        <v>2.4</v>
      </c>
    </row>
    <row r="27" spans="1:11" s="7" customFormat="1" ht="15.75" hidden="1">
      <c r="A27" s="48" t="s">
        <v>25</v>
      </c>
      <c r="B27" s="3" t="s">
        <v>26</v>
      </c>
      <c r="C27" s="3"/>
      <c r="D27" s="48"/>
      <c r="E27" s="133"/>
      <c r="F27" s="48"/>
      <c r="G27" s="48"/>
      <c r="H27" s="131" t="e">
        <f t="shared" si="0"/>
        <v>#DIV/0!</v>
      </c>
      <c r="I27" s="136"/>
      <c r="J27" s="43"/>
      <c r="K27" s="137"/>
    </row>
    <row r="28" spans="1:11" s="7" customFormat="1" ht="15.75" hidden="1">
      <c r="A28" s="48" t="s">
        <v>153</v>
      </c>
      <c r="B28" s="8" t="s">
        <v>27</v>
      </c>
      <c r="C28" s="8"/>
      <c r="D28" s="48"/>
      <c r="E28" s="133"/>
      <c r="F28" s="48"/>
      <c r="G28" s="48"/>
      <c r="H28" s="131" t="e">
        <f t="shared" si="0"/>
        <v>#DIV/0!</v>
      </c>
      <c r="I28" s="136"/>
      <c r="J28" s="43"/>
      <c r="K28" s="137"/>
    </row>
    <row r="29" spans="1:11" s="61" customFormat="1" ht="21" hidden="1" customHeight="1">
      <c r="A29" s="71" t="s">
        <v>154</v>
      </c>
      <c r="B29" s="8" t="s">
        <v>28</v>
      </c>
      <c r="C29" s="8"/>
      <c r="D29" s="48"/>
      <c r="E29" s="133"/>
      <c r="F29" s="48"/>
      <c r="G29" s="71"/>
      <c r="H29" s="131" t="e">
        <f t="shared" si="0"/>
        <v>#DIV/0!</v>
      </c>
      <c r="I29" s="139" t="e">
        <f>ROUND(I25/I26/4*1000,2)</f>
        <v>#REF!</v>
      </c>
      <c r="J29" s="58" t="e">
        <f>ROUND(J25/J26/6*1000,2)</f>
        <v>#REF!</v>
      </c>
      <c r="K29" s="140" t="e">
        <f>ROUND(K25/K26/6*1000,2)</f>
        <v>#REF!</v>
      </c>
    </row>
    <row r="30" spans="1:11" ht="21.75" hidden="1" customHeight="1">
      <c r="A30" s="48" t="s">
        <v>155</v>
      </c>
      <c r="B30" s="49" t="s">
        <v>29</v>
      </c>
      <c r="C30" s="49"/>
      <c r="D30" s="71"/>
      <c r="E30" s="71"/>
      <c r="F30" s="71"/>
      <c r="G30" s="48"/>
      <c r="H30" s="131" t="e">
        <f t="shared" si="0"/>
        <v>#DIV/0!</v>
      </c>
      <c r="I30" s="132" t="e">
        <f>ROUND(I25*0.305,2)</f>
        <v>#REF!</v>
      </c>
      <c r="J30" s="48" t="e">
        <f>ROUND(J25*0.305,2)</f>
        <v>#REF!</v>
      </c>
      <c r="K30" s="130" t="e">
        <f>ROUND(K25*0.305,2)</f>
        <v>#REF!</v>
      </c>
    </row>
    <row r="31" spans="1:11" ht="21.75" hidden="1" customHeight="1">
      <c r="A31" s="48" t="s">
        <v>30</v>
      </c>
      <c r="B31" s="8" t="s">
        <v>31</v>
      </c>
      <c r="C31" s="8"/>
      <c r="D31" s="48"/>
      <c r="E31" s="48"/>
      <c r="F31" s="48"/>
      <c r="G31" s="48"/>
      <c r="H31" s="131" t="e">
        <f t="shared" si="0"/>
        <v>#DIV/0!</v>
      </c>
      <c r="I31" s="132">
        <v>30.5</v>
      </c>
      <c r="J31" s="48">
        <v>30.5</v>
      </c>
      <c r="K31" s="130">
        <v>30.5</v>
      </c>
    </row>
    <row r="32" spans="1:11" ht="29.25" hidden="1" customHeight="1">
      <c r="A32" s="48" t="s">
        <v>156</v>
      </c>
      <c r="B32" s="8" t="s">
        <v>32</v>
      </c>
      <c r="C32" s="8"/>
      <c r="D32" s="48"/>
      <c r="E32" s="48"/>
      <c r="F32" s="48"/>
      <c r="G32" s="4"/>
      <c r="H32" s="131" t="e">
        <f t="shared" si="0"/>
        <v>#DIV/0!</v>
      </c>
      <c r="I32" s="132"/>
      <c r="J32" s="48"/>
      <c r="K32" s="130"/>
    </row>
    <row r="33" spans="1:11" ht="53.25" hidden="1" customHeight="1">
      <c r="A33" s="48" t="s">
        <v>33</v>
      </c>
      <c r="B33" s="3" t="s">
        <v>34</v>
      </c>
      <c r="C33" s="3"/>
      <c r="D33" s="4"/>
      <c r="E33" s="134"/>
      <c r="F33" s="4"/>
      <c r="G33" s="4"/>
      <c r="H33" s="131" t="e">
        <f t="shared" si="0"/>
        <v>#DIV/0!</v>
      </c>
      <c r="I33" s="129" t="e">
        <f>I34+I38+I39+I40</f>
        <v>#REF!</v>
      </c>
      <c r="J33" s="4" t="e">
        <f>J34+J38+J39+J40</f>
        <v>#REF!</v>
      </c>
      <c r="K33" s="51" t="e">
        <f>K34+K38+K39+K40</f>
        <v>#REF!</v>
      </c>
    </row>
    <row r="34" spans="1:11" ht="36" hidden="1" customHeight="1">
      <c r="A34" s="48" t="s">
        <v>35</v>
      </c>
      <c r="B34" s="3" t="s">
        <v>36</v>
      </c>
      <c r="C34" s="3"/>
      <c r="D34" s="4"/>
      <c r="E34" s="4"/>
      <c r="F34" s="4"/>
      <c r="G34" s="4"/>
      <c r="H34" s="131" t="e">
        <f t="shared" si="0"/>
        <v>#DIV/0!</v>
      </c>
      <c r="I34" s="132" t="e">
        <f>ROUND((#REF!/10*4)/1000,2)</f>
        <v>#REF!</v>
      </c>
      <c r="J34" s="48" t="e">
        <f>ROUND((#REF!/10*6)/1000,2)</f>
        <v>#REF!</v>
      </c>
      <c r="K34" s="130" t="e">
        <f>ROUND(#REF!/1000,2)</f>
        <v>#REF!</v>
      </c>
    </row>
    <row r="35" spans="1:11" ht="34.5" hidden="1" customHeight="1">
      <c r="A35" s="48" t="s">
        <v>182</v>
      </c>
      <c r="B35" s="3" t="s">
        <v>37</v>
      </c>
      <c r="C35" s="3"/>
      <c r="D35" s="4"/>
      <c r="E35" s="134"/>
      <c r="F35" s="4"/>
      <c r="G35" s="4"/>
      <c r="H35" s="131" t="e">
        <f t="shared" si="0"/>
        <v>#DIV/0!</v>
      </c>
      <c r="I35" s="132">
        <v>0.5</v>
      </c>
      <c r="J35" s="48">
        <v>0.5</v>
      </c>
      <c r="K35" s="130">
        <v>0.5</v>
      </c>
    </row>
    <row r="36" spans="1:11" ht="17.45" hidden="1" customHeight="1">
      <c r="A36" s="48"/>
      <c r="B36" s="3" t="s">
        <v>26</v>
      </c>
      <c r="C36" s="3"/>
      <c r="D36" s="4"/>
      <c r="E36" s="134"/>
      <c r="F36" s="4"/>
      <c r="G36" s="48"/>
      <c r="H36" s="131" t="e">
        <f t="shared" si="0"/>
        <v>#DIV/0!</v>
      </c>
      <c r="I36" s="132"/>
      <c r="J36" s="48"/>
      <c r="K36" s="130"/>
    </row>
    <row r="37" spans="1:11" s="57" customFormat="1" ht="18.600000000000001" hidden="1" customHeight="1">
      <c r="A37" s="71"/>
      <c r="B37" s="8" t="s">
        <v>28</v>
      </c>
      <c r="C37" s="8"/>
      <c r="D37" s="48"/>
      <c r="E37" s="133"/>
      <c r="F37" s="48"/>
      <c r="G37" s="9"/>
      <c r="H37" s="131" t="e">
        <f t="shared" si="0"/>
        <v>#DIV/0!</v>
      </c>
      <c r="I37" s="141" t="e">
        <f>I34/I35/4*1000</f>
        <v>#REF!</v>
      </c>
      <c r="J37" s="9" t="e">
        <f>J34/J35/6*1000</f>
        <v>#REF!</v>
      </c>
      <c r="K37" s="142" t="e">
        <f>K34/K35/6*1000</f>
        <v>#REF!</v>
      </c>
    </row>
    <row r="38" spans="1:11" ht="23.25" hidden="1" customHeight="1">
      <c r="A38" s="48"/>
      <c r="B38" s="49" t="s">
        <v>29</v>
      </c>
      <c r="C38" s="49"/>
      <c r="D38" s="9"/>
      <c r="E38" s="9"/>
      <c r="F38" s="9"/>
      <c r="G38" s="4"/>
      <c r="H38" s="131" t="e">
        <f t="shared" si="0"/>
        <v>#DIV/0!</v>
      </c>
      <c r="I38" s="129" t="e">
        <f>ROUND(I34*0.305,2)</f>
        <v>#REF!</v>
      </c>
      <c r="J38" s="4" t="e">
        <f>ROUND(J34*0.305,2)</f>
        <v>#REF!</v>
      </c>
      <c r="K38" s="51" t="e">
        <f>ROUND(K34*0.305,2)</f>
        <v>#REF!</v>
      </c>
    </row>
    <row r="39" spans="1:11" ht="19.149999999999999" hidden="1" customHeight="1">
      <c r="A39" s="48" t="s">
        <v>183</v>
      </c>
      <c r="B39" s="8" t="s">
        <v>31</v>
      </c>
      <c r="C39" s="8"/>
      <c r="D39" s="4"/>
      <c r="E39" s="4"/>
      <c r="F39" s="4"/>
      <c r="G39" s="48"/>
      <c r="H39" s="131" t="e">
        <f t="shared" si="0"/>
        <v>#DIV/0!</v>
      </c>
      <c r="I39" s="132"/>
      <c r="J39" s="48"/>
      <c r="K39" s="130"/>
    </row>
    <row r="40" spans="1:11" ht="19.149999999999999" hidden="1" customHeight="1">
      <c r="A40" s="48" t="s">
        <v>38</v>
      </c>
      <c r="B40" s="8" t="s">
        <v>39</v>
      </c>
      <c r="C40" s="8"/>
      <c r="D40" s="4"/>
      <c r="E40" s="134"/>
      <c r="F40" s="4"/>
      <c r="G40" s="4"/>
      <c r="H40" s="131" t="e">
        <f t="shared" si="0"/>
        <v>#DIV/0!</v>
      </c>
      <c r="I40" s="132"/>
      <c r="J40" s="48"/>
      <c r="K40" s="130"/>
    </row>
    <row r="41" spans="1:11" ht="52.9" hidden="1" customHeight="1">
      <c r="A41" s="48" t="s">
        <v>40</v>
      </c>
      <c r="B41" s="8" t="s">
        <v>41</v>
      </c>
      <c r="C41" s="8"/>
      <c r="D41" s="4"/>
      <c r="E41" s="134"/>
      <c r="F41" s="4"/>
      <c r="G41" s="4"/>
      <c r="H41" s="131" t="e">
        <f t="shared" si="0"/>
        <v>#DIV/0!</v>
      </c>
      <c r="I41" s="132"/>
      <c r="J41" s="48"/>
      <c r="K41" s="130"/>
    </row>
    <row r="42" spans="1:11" ht="29.25" hidden="1" customHeight="1">
      <c r="A42" s="48" t="s">
        <v>42</v>
      </c>
      <c r="B42" s="3" t="s">
        <v>43</v>
      </c>
      <c r="C42" s="3"/>
      <c r="D42" s="4"/>
      <c r="E42" s="134"/>
      <c r="F42" s="4"/>
      <c r="G42" s="4"/>
      <c r="H42" s="131" t="e">
        <f t="shared" si="0"/>
        <v>#DIV/0!</v>
      </c>
      <c r="I42" s="132" t="e">
        <f>I43++I48+I49+I53</f>
        <v>#REF!</v>
      </c>
      <c r="J42" s="48" t="e">
        <f>J43++J48+J49+J53</f>
        <v>#REF!</v>
      </c>
      <c r="K42" s="130" t="e">
        <f>K43++K48+K49+K53</f>
        <v>#REF!</v>
      </c>
    </row>
    <row r="43" spans="1:11" ht="15.75">
      <c r="A43" s="48" t="s">
        <v>44</v>
      </c>
      <c r="B43" s="8" t="s">
        <v>45</v>
      </c>
      <c r="C43" s="8"/>
      <c r="D43" s="48"/>
      <c r="E43" s="48"/>
      <c r="F43" s="48"/>
      <c r="G43" s="4"/>
      <c r="H43" s="131" t="e">
        <f t="shared" si="0"/>
        <v>#DIV/0!</v>
      </c>
      <c r="I43" s="132">
        <f>I44+I45+I46+I47</f>
        <v>0</v>
      </c>
      <c r="J43" s="48">
        <f>J44+J45+J46+J47</f>
        <v>0</v>
      </c>
      <c r="K43" s="130">
        <f>K44+K45+K46+K47</f>
        <v>0</v>
      </c>
    </row>
    <row r="44" spans="1:11" ht="31.5" hidden="1">
      <c r="A44" s="48" t="s">
        <v>46</v>
      </c>
      <c r="B44" s="3" t="s">
        <v>47</v>
      </c>
      <c r="C44" s="3"/>
      <c r="D44" s="4"/>
      <c r="E44" s="4"/>
      <c r="F44" s="4"/>
      <c r="G44" s="4"/>
      <c r="H44" s="131" t="e">
        <f t="shared" si="0"/>
        <v>#DIV/0!</v>
      </c>
      <c r="I44" s="132">
        <f>75.82-75.82</f>
        <v>0</v>
      </c>
      <c r="J44" s="48">
        <f>113.73-113.73</f>
        <v>0</v>
      </c>
      <c r="K44" s="130">
        <v>0</v>
      </c>
    </row>
    <row r="45" spans="1:11" ht="47.25" hidden="1">
      <c r="A45" s="48" t="s">
        <v>48</v>
      </c>
      <c r="B45" s="11" t="s">
        <v>49</v>
      </c>
      <c r="C45" s="11"/>
      <c r="D45" s="4"/>
      <c r="E45" s="134"/>
      <c r="F45" s="4"/>
      <c r="G45" s="4"/>
      <c r="H45" s="131" t="e">
        <f t="shared" si="0"/>
        <v>#DIV/0!</v>
      </c>
      <c r="I45" s="132"/>
      <c r="J45" s="48"/>
      <c r="K45" s="130"/>
    </row>
    <row r="46" spans="1:11" ht="31.5" hidden="1">
      <c r="A46" s="48" t="s">
        <v>50</v>
      </c>
      <c r="B46" s="11" t="s">
        <v>178</v>
      </c>
      <c r="C46" s="11"/>
      <c r="D46" s="4"/>
      <c r="E46" s="134"/>
      <c r="F46" s="4"/>
      <c r="G46" s="4"/>
      <c r="H46" s="131" t="e">
        <f t="shared" si="0"/>
        <v>#DIV/0!</v>
      </c>
      <c r="I46" s="132"/>
      <c r="J46" s="48"/>
      <c r="K46" s="130"/>
    </row>
    <row r="47" spans="1:11" ht="31.5" hidden="1">
      <c r="A47" s="48" t="s">
        <v>51</v>
      </c>
      <c r="B47" s="3" t="s">
        <v>52</v>
      </c>
      <c r="C47" s="3"/>
      <c r="D47" s="4"/>
      <c r="E47" s="134"/>
      <c r="F47" s="4"/>
      <c r="G47" s="4"/>
      <c r="H47" s="131" t="e">
        <f t="shared" si="0"/>
        <v>#DIV/0!</v>
      </c>
      <c r="I47" s="132"/>
      <c r="J47" s="48"/>
      <c r="K47" s="130"/>
    </row>
    <row r="48" spans="1:11" ht="31.5" hidden="1">
      <c r="A48" s="48" t="s">
        <v>53</v>
      </c>
      <c r="B48" s="3" t="s">
        <v>54</v>
      </c>
      <c r="C48" s="3"/>
      <c r="D48" s="4"/>
      <c r="E48" s="134"/>
      <c r="F48" s="4"/>
      <c r="G48" s="4"/>
      <c r="H48" s="131" t="e">
        <f t="shared" si="0"/>
        <v>#DIV/0!</v>
      </c>
      <c r="I48" s="132"/>
      <c r="J48" s="48"/>
      <c r="K48" s="130"/>
    </row>
    <row r="49" spans="1:11" ht="15.75" hidden="1">
      <c r="A49" s="48" t="s">
        <v>55</v>
      </c>
      <c r="B49" s="3" t="s">
        <v>56</v>
      </c>
      <c r="C49" s="3"/>
      <c r="D49" s="4"/>
      <c r="E49" s="134"/>
      <c r="F49" s="4"/>
      <c r="G49" s="4"/>
      <c r="H49" s="131" t="e">
        <f t="shared" si="0"/>
        <v>#DIV/0!</v>
      </c>
      <c r="I49" s="132" t="e">
        <f>ROUND((#REF!/10*4/1000),2)</f>
        <v>#REF!</v>
      </c>
      <c r="J49" s="48" t="e">
        <f>ROUND((#REF!/10*6)/1000,2)</f>
        <v>#REF!</v>
      </c>
      <c r="K49" s="130" t="e">
        <f>ROUND(#REF!/1000,2)</f>
        <v>#REF!</v>
      </c>
    </row>
    <row r="50" spans="1:11" s="7" customFormat="1" ht="34.9" hidden="1" customHeight="1">
      <c r="A50" s="48" t="s">
        <v>57</v>
      </c>
      <c r="B50" s="8" t="s">
        <v>58</v>
      </c>
      <c r="C50" s="8"/>
      <c r="D50" s="48"/>
      <c r="E50" s="133"/>
      <c r="F50" s="48"/>
      <c r="G50" s="48"/>
      <c r="H50" s="131" t="e">
        <f t="shared" si="0"/>
        <v>#DIV/0!</v>
      </c>
      <c r="I50" s="136">
        <v>4.3</v>
      </c>
      <c r="J50" s="43">
        <v>4.3</v>
      </c>
      <c r="K50" s="137">
        <v>4.3</v>
      </c>
    </row>
    <row r="51" spans="1:11" s="7" customFormat="1" ht="21" hidden="1" customHeight="1">
      <c r="A51" s="48" t="s">
        <v>59</v>
      </c>
      <c r="B51" s="8" t="s">
        <v>60</v>
      </c>
      <c r="C51" s="8"/>
      <c r="D51" s="48"/>
      <c r="E51" s="48"/>
      <c r="F51" s="48"/>
      <c r="G51" s="48"/>
      <c r="H51" s="131" t="e">
        <f t="shared" si="0"/>
        <v>#DIV/0!</v>
      </c>
      <c r="I51" s="136"/>
      <c r="J51" s="43"/>
      <c r="K51" s="137"/>
    </row>
    <row r="52" spans="1:11" s="61" customFormat="1" ht="15.75" hidden="1">
      <c r="A52" s="71" t="s">
        <v>61</v>
      </c>
      <c r="B52" s="8" t="s">
        <v>28</v>
      </c>
      <c r="C52" s="8"/>
      <c r="D52" s="48"/>
      <c r="E52" s="133"/>
      <c r="F52" s="48"/>
      <c r="G52" s="9"/>
      <c r="H52" s="131" t="e">
        <f t="shared" si="0"/>
        <v>#DIV/0!</v>
      </c>
      <c r="I52" s="143" t="e">
        <f>I49/I50/4*1000</f>
        <v>#REF!</v>
      </c>
      <c r="J52" s="60" t="e">
        <f>J49/J50/6*1000</f>
        <v>#REF!</v>
      </c>
      <c r="K52" s="144" t="e">
        <f>K49/K50/6*1000</f>
        <v>#REF!</v>
      </c>
    </row>
    <row r="53" spans="1:11" ht="24.75" hidden="1" customHeight="1">
      <c r="A53" s="45" t="s">
        <v>62</v>
      </c>
      <c r="B53" s="49" t="s">
        <v>29</v>
      </c>
      <c r="C53" s="49"/>
      <c r="D53" s="9"/>
      <c r="E53" s="9"/>
      <c r="F53" s="9"/>
      <c r="G53" s="4"/>
      <c r="H53" s="131" t="e">
        <f t="shared" si="0"/>
        <v>#DIV/0!</v>
      </c>
      <c r="I53" s="132" t="e">
        <f>ROUND(I49*0.305,2)</f>
        <v>#REF!</v>
      </c>
      <c r="J53" s="48" t="e">
        <f>ROUND(J49*0.305,2)</f>
        <v>#REF!</v>
      </c>
      <c r="K53" s="130" t="e">
        <f>ROUND(K49*0.305,2)</f>
        <v>#REF!</v>
      </c>
    </row>
    <row r="54" spans="1:11" ht="28.5" hidden="1" customHeight="1">
      <c r="A54" s="45" t="s">
        <v>63</v>
      </c>
      <c r="B54" s="8" t="s">
        <v>31</v>
      </c>
      <c r="C54" s="8"/>
      <c r="D54" s="48"/>
      <c r="E54" s="48"/>
      <c r="F54" s="48"/>
      <c r="G54" s="48"/>
      <c r="H54" s="131" t="e">
        <f t="shared" si="0"/>
        <v>#DIV/0!</v>
      </c>
      <c r="I54" s="132">
        <f>I55+I56+I58+I59+I60+I61+I62+I63+I64+I65+I66+I67</f>
        <v>-48.02</v>
      </c>
      <c r="J54" s="48">
        <f>J55+J56+J58+J59+J60+J61+J62+J63+J64+J65+J66+J67</f>
        <v>0</v>
      </c>
      <c r="K54" s="130">
        <f>K55+K56+K58+K59+K60+K61+K62+K63+K64+K65+K66+K67</f>
        <v>0</v>
      </c>
    </row>
    <row r="55" spans="1:11" ht="31.5">
      <c r="A55" s="48" t="s">
        <v>64</v>
      </c>
      <c r="B55" s="3" t="s">
        <v>65</v>
      </c>
      <c r="C55" s="3"/>
      <c r="D55" s="48"/>
      <c r="E55" s="48"/>
      <c r="F55" s="48"/>
      <c r="G55" s="4"/>
      <c r="H55" s="131" t="e">
        <f t="shared" si="0"/>
        <v>#DIV/0!</v>
      </c>
      <c r="I55" s="132"/>
      <c r="J55" s="48"/>
      <c r="K55" s="130"/>
    </row>
    <row r="56" spans="1:11" ht="31.5" hidden="1">
      <c r="A56" s="48" t="s">
        <v>66</v>
      </c>
      <c r="B56" s="3" t="s">
        <v>67</v>
      </c>
      <c r="C56" s="3"/>
      <c r="D56" s="48"/>
      <c r="E56" s="133"/>
      <c r="F56" s="48"/>
      <c r="G56" s="4"/>
      <c r="H56" s="131" t="e">
        <f t="shared" si="0"/>
        <v>#DIV/0!</v>
      </c>
      <c r="I56" s="132"/>
      <c r="J56" s="48"/>
      <c r="K56" s="130"/>
    </row>
    <row r="57" spans="1:11" s="7" customFormat="1" ht="31.5" hidden="1">
      <c r="A57" s="48" t="s">
        <v>68</v>
      </c>
      <c r="B57" s="3" t="s">
        <v>69</v>
      </c>
      <c r="C57" s="3"/>
      <c r="D57" s="48"/>
      <c r="E57" s="133"/>
      <c r="F57" s="48"/>
      <c r="G57" s="4"/>
      <c r="H57" s="131" t="e">
        <f t="shared" si="0"/>
        <v>#DIV/0!</v>
      </c>
      <c r="I57" s="136"/>
      <c r="J57" s="43"/>
      <c r="K57" s="137"/>
    </row>
    <row r="58" spans="1:11" ht="15.75" hidden="1">
      <c r="A58" s="48" t="s">
        <v>70</v>
      </c>
      <c r="B58" s="3" t="s">
        <v>71</v>
      </c>
      <c r="C58" s="3"/>
      <c r="D58" s="48"/>
      <c r="E58" s="133"/>
      <c r="F58" s="48"/>
      <c r="G58" s="4"/>
      <c r="H58" s="131" t="e">
        <f t="shared" si="0"/>
        <v>#DIV/0!</v>
      </c>
      <c r="I58" s="132"/>
      <c r="J58" s="48"/>
      <c r="K58" s="130"/>
    </row>
    <row r="59" spans="1:11" ht="15.75" hidden="1">
      <c r="A59" s="48" t="s">
        <v>72</v>
      </c>
      <c r="B59" s="8" t="s">
        <v>31</v>
      </c>
      <c r="C59" s="8"/>
      <c r="D59" s="48"/>
      <c r="E59" s="133"/>
      <c r="F59" s="48"/>
      <c r="G59" s="4"/>
      <c r="H59" s="131" t="e">
        <f t="shared" si="0"/>
        <v>#DIV/0!</v>
      </c>
      <c r="I59" s="132"/>
      <c r="J59" s="48"/>
      <c r="K59" s="130"/>
    </row>
    <row r="60" spans="1:11" ht="31.5" hidden="1">
      <c r="A60" s="48" t="s">
        <v>73</v>
      </c>
      <c r="B60" s="8" t="s">
        <v>75</v>
      </c>
      <c r="C60" s="8"/>
      <c r="D60" s="48"/>
      <c r="E60" s="133"/>
      <c r="F60" s="48"/>
      <c r="G60" s="4"/>
      <c r="H60" s="131" t="e">
        <f t="shared" si="0"/>
        <v>#DIV/0!</v>
      </c>
      <c r="I60" s="132"/>
      <c r="J60" s="48"/>
      <c r="K60" s="130"/>
    </row>
    <row r="61" spans="1:11" ht="21.6" hidden="1" customHeight="1">
      <c r="A61" s="48" t="s">
        <v>74</v>
      </c>
      <c r="B61" s="8" t="s">
        <v>77</v>
      </c>
      <c r="C61" s="8"/>
      <c r="D61" s="48"/>
      <c r="E61" s="133"/>
      <c r="F61" s="48"/>
      <c r="G61" s="4"/>
      <c r="H61" s="131" t="e">
        <f t="shared" si="0"/>
        <v>#DIV/0!</v>
      </c>
      <c r="I61" s="132">
        <f>ROUND(D62/16*4,2)-48.02</f>
        <v>-48.02</v>
      </c>
      <c r="J61" s="48">
        <f>72.03-72.03</f>
        <v>0</v>
      </c>
      <c r="K61" s="130"/>
    </row>
    <row r="62" spans="1:11" ht="19.149999999999999" hidden="1" customHeight="1">
      <c r="A62" s="48" t="s">
        <v>66</v>
      </c>
      <c r="B62" s="8" t="s">
        <v>79</v>
      </c>
      <c r="C62" s="8"/>
      <c r="D62" s="48"/>
      <c r="E62" s="133"/>
      <c r="F62" s="48"/>
      <c r="G62" s="4"/>
      <c r="H62" s="131" t="e">
        <f t="shared" si="0"/>
        <v>#DIV/0!</v>
      </c>
      <c r="I62" s="132"/>
      <c r="J62" s="48"/>
      <c r="K62" s="130"/>
    </row>
    <row r="63" spans="1:11" ht="32.450000000000003" hidden="1" customHeight="1">
      <c r="A63" s="48" t="s">
        <v>76</v>
      </c>
      <c r="B63" s="8" t="s">
        <v>81</v>
      </c>
      <c r="C63" s="8"/>
      <c r="D63" s="48"/>
      <c r="E63" s="133"/>
      <c r="F63" s="48"/>
      <c r="G63" s="4"/>
      <c r="H63" s="131" t="e">
        <f t="shared" si="0"/>
        <v>#DIV/0!</v>
      </c>
      <c r="I63" s="132"/>
      <c r="J63" s="48"/>
      <c r="K63" s="130"/>
    </row>
    <row r="64" spans="1:11" ht="32.450000000000003" hidden="1" customHeight="1">
      <c r="A64" s="48" t="s">
        <v>78</v>
      </c>
      <c r="B64" s="8" t="s">
        <v>83</v>
      </c>
      <c r="C64" s="8"/>
      <c r="D64" s="48"/>
      <c r="E64" s="133"/>
      <c r="F64" s="48"/>
      <c r="G64" s="4"/>
      <c r="H64" s="131" t="e">
        <f t="shared" si="0"/>
        <v>#DIV/0!</v>
      </c>
      <c r="I64" s="132"/>
      <c r="J64" s="48"/>
      <c r="K64" s="130"/>
    </row>
    <row r="65" spans="1:11" ht="32.450000000000003" hidden="1" customHeight="1">
      <c r="A65" s="48" t="s">
        <v>80</v>
      </c>
      <c r="B65" s="8" t="s">
        <v>84</v>
      </c>
      <c r="C65" s="8"/>
      <c r="D65" s="48"/>
      <c r="E65" s="133"/>
      <c r="F65" s="48"/>
      <c r="G65" s="4"/>
      <c r="H65" s="131" t="e">
        <f t="shared" si="0"/>
        <v>#DIV/0!</v>
      </c>
      <c r="I65" s="132"/>
      <c r="J65" s="48"/>
      <c r="K65" s="130"/>
    </row>
    <row r="66" spans="1:11" ht="32.450000000000003" hidden="1" customHeight="1">
      <c r="A66" s="48" t="s">
        <v>82</v>
      </c>
      <c r="B66" s="8" t="s">
        <v>85</v>
      </c>
      <c r="C66" s="8"/>
      <c r="D66" s="48"/>
      <c r="E66" s="133"/>
      <c r="F66" s="48"/>
      <c r="G66" s="4"/>
      <c r="H66" s="131" t="e">
        <f t="shared" si="0"/>
        <v>#DIV/0!</v>
      </c>
      <c r="I66" s="132"/>
      <c r="J66" s="48"/>
      <c r="K66" s="130"/>
    </row>
    <row r="67" spans="1:11" ht="35.450000000000003" hidden="1" customHeight="1">
      <c r="A67" s="48" t="s">
        <v>179</v>
      </c>
      <c r="B67" s="8" t="s">
        <v>86</v>
      </c>
      <c r="C67" s="8"/>
      <c r="D67" s="48"/>
      <c r="E67" s="133"/>
      <c r="F67" s="48"/>
      <c r="G67" s="4"/>
      <c r="H67" s="131" t="e">
        <f t="shared" si="0"/>
        <v>#DIV/0!</v>
      </c>
      <c r="I67" s="132">
        <v>0</v>
      </c>
      <c r="J67" s="48">
        <v>0</v>
      </c>
      <c r="K67" s="130">
        <v>0</v>
      </c>
    </row>
    <row r="68" spans="1:11" ht="46.5" hidden="1" customHeight="1">
      <c r="A68" s="48" t="s">
        <v>68</v>
      </c>
      <c r="B68" s="3" t="s">
        <v>87</v>
      </c>
      <c r="C68" s="3"/>
      <c r="D68" s="4"/>
      <c r="E68" s="133"/>
      <c r="F68" s="48"/>
      <c r="G68" s="4"/>
      <c r="H68" s="131" t="e">
        <f t="shared" si="0"/>
        <v>#DIV/0!</v>
      </c>
      <c r="I68" s="132"/>
      <c r="J68" s="48"/>
      <c r="K68" s="130"/>
    </row>
    <row r="69" spans="1:11" ht="31.5">
      <c r="A69" s="48" t="s">
        <v>88</v>
      </c>
      <c r="B69" s="3" t="s">
        <v>89</v>
      </c>
      <c r="C69" s="3"/>
      <c r="D69" s="4"/>
      <c r="E69" s="133"/>
      <c r="F69" s="48"/>
      <c r="G69" s="4"/>
      <c r="H69" s="131" t="e">
        <f t="shared" si="0"/>
        <v>#DIV/0!</v>
      </c>
      <c r="I69" s="132"/>
      <c r="J69" s="48"/>
      <c r="K69" s="130"/>
    </row>
    <row r="70" spans="1:11" ht="31.5" hidden="1">
      <c r="A70" s="48" t="s">
        <v>90</v>
      </c>
      <c r="B70" s="3" t="s">
        <v>91</v>
      </c>
      <c r="C70" s="3"/>
      <c r="D70" s="48"/>
      <c r="E70" s="133"/>
      <c r="F70" s="48"/>
      <c r="G70" s="4"/>
      <c r="H70" s="131" t="e">
        <f t="shared" si="0"/>
        <v>#DIV/0!</v>
      </c>
      <c r="I70" s="132"/>
      <c r="J70" s="48"/>
      <c r="K70" s="130"/>
    </row>
    <row r="71" spans="1:11" s="7" customFormat="1" ht="15.75" hidden="1">
      <c r="A71" s="48" t="s">
        <v>92</v>
      </c>
      <c r="B71" s="3" t="s">
        <v>93</v>
      </c>
      <c r="C71" s="3"/>
      <c r="D71" s="48"/>
      <c r="E71" s="133"/>
      <c r="F71" s="48"/>
      <c r="G71" s="4"/>
      <c r="H71" s="131" t="e">
        <f t="shared" si="0"/>
        <v>#DIV/0!</v>
      </c>
      <c r="I71" s="136"/>
      <c r="J71" s="43"/>
      <c r="K71" s="137"/>
    </row>
    <row r="72" spans="1:11" ht="15.75" hidden="1">
      <c r="A72" s="48" t="s">
        <v>94</v>
      </c>
      <c r="B72" s="3" t="s">
        <v>71</v>
      </c>
      <c r="C72" s="3"/>
      <c r="D72" s="48"/>
      <c r="E72" s="133"/>
      <c r="F72" s="48"/>
      <c r="G72" s="4"/>
      <c r="H72" s="131" t="e">
        <f t="shared" si="0"/>
        <v>#DIV/0!</v>
      </c>
      <c r="I72" s="132"/>
      <c r="J72" s="48"/>
      <c r="K72" s="130"/>
    </row>
    <row r="73" spans="1:11" ht="30.6" hidden="1" customHeight="1">
      <c r="A73" s="48" t="s">
        <v>95</v>
      </c>
      <c r="B73" s="8" t="s">
        <v>31</v>
      </c>
      <c r="C73" s="8"/>
      <c r="D73" s="48"/>
      <c r="E73" s="133"/>
      <c r="F73" s="48"/>
      <c r="G73" s="4"/>
      <c r="H73" s="131" t="e">
        <f t="shared" si="0"/>
        <v>#DIV/0!</v>
      </c>
      <c r="I73" s="132"/>
      <c r="J73" s="48"/>
      <c r="K73" s="130"/>
    </row>
    <row r="74" spans="1:11" ht="22.15" hidden="1" customHeight="1">
      <c r="A74" s="48" t="s">
        <v>96</v>
      </c>
      <c r="B74" s="8" t="s">
        <v>97</v>
      </c>
      <c r="C74" s="8"/>
      <c r="D74" s="48"/>
      <c r="E74" s="133"/>
      <c r="F74" s="48"/>
      <c r="G74" s="4"/>
      <c r="H74" s="131" t="e">
        <f t="shared" si="0"/>
        <v>#DIV/0!</v>
      </c>
      <c r="I74" s="132">
        <f>ROUND(D75/16*4,2)-64.54</f>
        <v>-64.540000000000006</v>
      </c>
      <c r="J74" s="48">
        <f>96.81-96.81</f>
        <v>0</v>
      </c>
      <c r="K74" s="130">
        <v>0</v>
      </c>
    </row>
    <row r="75" spans="1:11" ht="36.6" customHeight="1">
      <c r="A75" s="48" t="s">
        <v>98</v>
      </c>
      <c r="B75" s="3" t="s">
        <v>99</v>
      </c>
      <c r="C75" s="3"/>
      <c r="D75" s="48"/>
      <c r="E75" s="133"/>
      <c r="F75" s="48"/>
      <c r="G75" s="4"/>
      <c r="H75" s="131" t="e">
        <f t="shared" ref="H75:H93" si="1">G75/D75</f>
        <v>#DIV/0!</v>
      </c>
      <c r="I75" s="132"/>
      <c r="J75" s="48"/>
      <c r="K75" s="130"/>
    </row>
    <row r="76" spans="1:11" ht="31.5">
      <c r="A76" s="48" t="s">
        <v>157</v>
      </c>
      <c r="B76" s="3" t="s">
        <v>100</v>
      </c>
      <c r="C76" s="3"/>
      <c r="D76" s="4"/>
      <c r="E76" s="133"/>
      <c r="F76" s="48"/>
      <c r="G76" s="4"/>
      <c r="H76" s="131" t="e">
        <f t="shared" si="1"/>
        <v>#DIV/0!</v>
      </c>
      <c r="I76" s="132"/>
      <c r="J76" s="48"/>
      <c r="K76" s="130"/>
    </row>
    <row r="77" spans="1:11" ht="15.75" hidden="1">
      <c r="A77" s="48" t="s">
        <v>166</v>
      </c>
      <c r="B77" s="3" t="s">
        <v>101</v>
      </c>
      <c r="C77" s="3"/>
      <c r="D77" s="48"/>
      <c r="E77" s="133"/>
      <c r="F77" s="48"/>
      <c r="G77" s="4"/>
      <c r="H77" s="131" t="e">
        <f t="shared" si="1"/>
        <v>#DIV/0!</v>
      </c>
      <c r="I77" s="132"/>
      <c r="J77" s="48"/>
      <c r="K77" s="130"/>
    </row>
    <row r="78" spans="1:11" ht="15.75" hidden="1">
      <c r="A78" s="48" t="s">
        <v>102</v>
      </c>
      <c r="B78" s="3" t="s">
        <v>103</v>
      </c>
      <c r="C78" s="3"/>
      <c r="D78" s="48"/>
      <c r="E78" s="133"/>
      <c r="F78" s="48"/>
      <c r="G78" s="4"/>
      <c r="H78" s="131" t="e">
        <f t="shared" si="1"/>
        <v>#DIV/0!</v>
      </c>
      <c r="I78" s="132"/>
      <c r="J78" s="48"/>
      <c r="K78" s="130"/>
    </row>
    <row r="79" spans="1:11" ht="34.9" hidden="1" customHeight="1">
      <c r="A79" s="48" t="s">
        <v>104</v>
      </c>
      <c r="B79" s="11" t="s">
        <v>105</v>
      </c>
      <c r="C79" s="11"/>
      <c r="D79" s="48"/>
      <c r="E79" s="133"/>
      <c r="F79" s="48"/>
      <c r="G79" s="4"/>
      <c r="H79" s="131" t="e">
        <f t="shared" si="1"/>
        <v>#DIV/0!</v>
      </c>
      <c r="I79" s="132">
        <f>I80+I81+I82</f>
        <v>-32.909999999999997</v>
      </c>
      <c r="J79" s="48">
        <f>J80+J81+J82</f>
        <v>0</v>
      </c>
      <c r="K79" s="130">
        <f>K80+K81+K82</f>
        <v>0</v>
      </c>
    </row>
    <row r="80" spans="1:11" ht="31.5" customHeight="1">
      <c r="A80" s="48" t="s">
        <v>106</v>
      </c>
      <c r="B80" s="3" t="s">
        <v>107</v>
      </c>
      <c r="C80" s="3"/>
      <c r="D80" s="48"/>
      <c r="E80" s="48"/>
      <c r="F80" s="48"/>
      <c r="G80" s="4"/>
      <c r="H80" s="131" t="e">
        <f t="shared" si="1"/>
        <v>#DIV/0!</v>
      </c>
      <c r="I80" s="132"/>
      <c r="J80" s="48"/>
      <c r="K80" s="130"/>
    </row>
    <row r="81" spans="1:11" ht="20.25" hidden="1" customHeight="1">
      <c r="A81" s="48" t="s">
        <v>108</v>
      </c>
      <c r="B81" s="46" t="s">
        <v>158</v>
      </c>
      <c r="C81" s="46"/>
      <c r="D81" s="4"/>
      <c r="E81" s="133"/>
      <c r="F81" s="48"/>
      <c r="G81" s="4"/>
      <c r="H81" s="131" t="e">
        <f t="shared" si="1"/>
        <v>#DIV/0!</v>
      </c>
      <c r="I81" s="132"/>
      <c r="J81" s="48"/>
      <c r="K81" s="130"/>
    </row>
    <row r="82" spans="1:11" ht="18.600000000000001" hidden="1" customHeight="1">
      <c r="A82" s="48" t="s">
        <v>109</v>
      </c>
      <c r="B82" s="46" t="s">
        <v>110</v>
      </c>
      <c r="C82" s="46"/>
      <c r="D82" s="4"/>
      <c r="E82" s="133"/>
      <c r="F82" s="48"/>
      <c r="G82" s="4"/>
      <c r="H82" s="131" t="e">
        <f t="shared" si="1"/>
        <v>#DIV/0!</v>
      </c>
      <c r="I82" s="132">
        <f>ROUND(D83/16*4,2)-32.91</f>
        <v>-32.909999999999997</v>
      </c>
      <c r="J82" s="48">
        <f>49.37-49.37</f>
        <v>0</v>
      </c>
      <c r="K82" s="130"/>
    </row>
    <row r="83" spans="1:11" s="10" customFormat="1" ht="15.75" hidden="1">
      <c r="A83" s="45" t="s">
        <v>108</v>
      </c>
      <c r="B83" s="47" t="s">
        <v>111</v>
      </c>
      <c r="C83" s="47"/>
      <c r="D83" s="4"/>
      <c r="E83" s="133"/>
      <c r="F83" s="48"/>
      <c r="G83" s="4"/>
      <c r="H83" s="131" t="e">
        <f t="shared" si="1"/>
        <v>#DIV/0!</v>
      </c>
      <c r="I83" s="145" t="e">
        <f>I9+I42+I54+I68+I74+I75+I79</f>
        <v>#REF!</v>
      </c>
      <c r="J83" s="2" t="e">
        <f>J9+J42+J54+J68+J74+J75+J79</f>
        <v>#REF!</v>
      </c>
      <c r="K83" s="52" t="e">
        <f>K9+K42+K54+K68+K74+K75+K79</f>
        <v>#REF!</v>
      </c>
    </row>
    <row r="84" spans="1:11" s="10" customFormat="1" ht="15.75">
      <c r="A84" s="48"/>
      <c r="B84" s="3" t="s">
        <v>112</v>
      </c>
      <c r="C84" s="3"/>
      <c r="D84" s="4"/>
      <c r="E84" s="4"/>
      <c r="F84" s="4"/>
      <c r="G84" s="4"/>
      <c r="H84" s="131" t="e">
        <f t="shared" si="1"/>
        <v>#DIV/0!</v>
      </c>
      <c r="I84" s="145" t="e">
        <f>I85/I83*100</f>
        <v>#REF!</v>
      </c>
      <c r="J84" s="2" t="e">
        <f>J85/J83*100</f>
        <v>#REF!</v>
      </c>
      <c r="K84" s="52" t="e">
        <f>K85/K83*100</f>
        <v>#REF!</v>
      </c>
    </row>
    <row r="85" spans="1:11" ht="15.75">
      <c r="A85" s="48">
        <v>8</v>
      </c>
      <c r="B85" s="3" t="s">
        <v>113</v>
      </c>
      <c r="C85" s="3"/>
      <c r="D85" s="4"/>
      <c r="E85" s="4"/>
      <c r="F85" s="4"/>
      <c r="G85" s="4"/>
      <c r="H85" s="131" t="e">
        <f t="shared" si="1"/>
        <v>#DIV/0!</v>
      </c>
      <c r="I85" s="132">
        <f>I86+I87+I88+I89+I90</f>
        <v>3.7199999999999998</v>
      </c>
      <c r="J85" s="48">
        <f>J86+J87+J88+J89+J90</f>
        <v>6.1099999999999994</v>
      </c>
      <c r="K85" s="130">
        <f>K86+K87+K88+K89+K90</f>
        <v>6.1099999999999994</v>
      </c>
    </row>
    <row r="86" spans="1:11" ht="15.75">
      <c r="A86" s="48">
        <v>9</v>
      </c>
      <c r="B86" s="3" t="s">
        <v>114</v>
      </c>
      <c r="C86" s="3"/>
      <c r="D86" s="4"/>
      <c r="E86" s="48"/>
      <c r="F86" s="48"/>
      <c r="G86" s="48"/>
      <c r="H86" s="131" t="e">
        <f t="shared" si="1"/>
        <v>#DIV/0!</v>
      </c>
      <c r="I86" s="132"/>
      <c r="J86" s="48"/>
      <c r="K86" s="130"/>
    </row>
    <row r="87" spans="1:11" ht="63" hidden="1">
      <c r="A87" s="48" t="s">
        <v>141</v>
      </c>
      <c r="B87" s="3" t="s">
        <v>115</v>
      </c>
      <c r="C87" s="3"/>
      <c r="D87" s="4"/>
      <c r="E87" s="4"/>
      <c r="F87" s="4"/>
      <c r="G87" s="4"/>
      <c r="H87" s="131" t="e">
        <f t="shared" si="1"/>
        <v>#DIV/0!</v>
      </c>
      <c r="I87" s="132"/>
      <c r="J87" s="48"/>
      <c r="K87" s="130"/>
    </row>
    <row r="88" spans="1:11" ht="30" hidden="1" customHeight="1">
      <c r="A88" s="45" t="s">
        <v>142</v>
      </c>
      <c r="B88" s="47" t="s">
        <v>116</v>
      </c>
      <c r="C88" s="47"/>
      <c r="D88" s="4"/>
      <c r="E88" s="4"/>
      <c r="F88" s="4"/>
      <c r="G88" s="4"/>
      <c r="H88" s="131" t="e">
        <f t="shared" si="1"/>
        <v>#DIV/0!</v>
      </c>
      <c r="I88" s="132">
        <v>3</v>
      </c>
      <c r="J88" s="48">
        <v>4.93</v>
      </c>
      <c r="K88" s="130">
        <v>4.93</v>
      </c>
    </row>
    <row r="89" spans="1:11" ht="15.75" hidden="1">
      <c r="A89" s="48" t="s">
        <v>143</v>
      </c>
      <c r="B89" s="47" t="s">
        <v>117</v>
      </c>
      <c r="C89" s="47"/>
      <c r="D89" s="48"/>
      <c r="E89" s="133"/>
      <c r="F89" s="48"/>
      <c r="G89" s="48"/>
      <c r="H89" s="131" t="e">
        <f t="shared" si="1"/>
        <v>#DIV/0!</v>
      </c>
      <c r="I89" s="132"/>
      <c r="J89" s="48"/>
      <c r="K89" s="130"/>
    </row>
    <row r="90" spans="1:11" ht="15.75" hidden="1">
      <c r="A90" s="48" t="s">
        <v>144</v>
      </c>
      <c r="B90" s="47" t="s">
        <v>118</v>
      </c>
      <c r="C90" s="47"/>
      <c r="D90" s="48"/>
      <c r="E90" s="133"/>
      <c r="F90" s="48"/>
      <c r="G90" s="48"/>
      <c r="H90" s="131" t="e">
        <f t="shared" si="1"/>
        <v>#DIV/0!</v>
      </c>
      <c r="I90" s="132">
        <f>I91</f>
        <v>0.72</v>
      </c>
      <c r="J90" s="48">
        <f>J91</f>
        <v>1.18</v>
      </c>
      <c r="K90" s="130">
        <f>K91</f>
        <v>1.18</v>
      </c>
    </row>
    <row r="91" spans="1:11" ht="15.75" hidden="1">
      <c r="A91" s="146" t="s">
        <v>145</v>
      </c>
      <c r="B91" s="47" t="s">
        <v>159</v>
      </c>
      <c r="C91" s="47"/>
      <c r="D91" s="48"/>
      <c r="E91" s="48"/>
      <c r="F91" s="48"/>
      <c r="G91" s="48"/>
      <c r="H91" s="131" t="e">
        <f t="shared" si="1"/>
        <v>#DIV/0!</v>
      </c>
      <c r="I91" s="132">
        <f>ROUND(I88*0.24,2)</f>
        <v>0.72</v>
      </c>
      <c r="J91" s="48">
        <f>ROUND(J88*0.24,2)</f>
        <v>1.18</v>
      </c>
      <c r="K91" s="130">
        <f>ROUND(K88*0.24,2)</f>
        <v>1.18</v>
      </c>
    </row>
    <row r="92" spans="1:11" s="10" customFormat="1" ht="15.75" hidden="1">
      <c r="A92" s="48" t="s">
        <v>160</v>
      </c>
      <c r="B92" s="47" t="s">
        <v>161</v>
      </c>
      <c r="C92" s="47"/>
      <c r="D92" s="48"/>
      <c r="E92" s="133"/>
      <c r="F92" s="48"/>
      <c r="G92" s="4"/>
      <c r="H92" s="131" t="e">
        <f t="shared" si="1"/>
        <v>#DIV/0!</v>
      </c>
      <c r="I92" s="145" t="e">
        <f>I83+I85</f>
        <v>#REF!</v>
      </c>
      <c r="J92" s="2" t="e">
        <f>J83+J85</f>
        <v>#REF!</v>
      </c>
      <c r="K92" s="52" t="e">
        <f>K83+K85</f>
        <v>#REF!</v>
      </c>
    </row>
    <row r="93" spans="1:11" s="10" customFormat="1" ht="20.45" customHeight="1">
      <c r="A93" s="48">
        <v>10</v>
      </c>
      <c r="B93" s="3" t="s">
        <v>119</v>
      </c>
      <c r="C93" s="3"/>
      <c r="D93" s="4"/>
      <c r="E93" s="4"/>
      <c r="F93" s="4"/>
      <c r="G93" s="4"/>
      <c r="H93" s="131" t="e">
        <f t="shared" si="1"/>
        <v>#DIV/0!</v>
      </c>
      <c r="I93" s="147">
        <v>124.86</v>
      </c>
      <c r="J93" s="44">
        <v>187.27</v>
      </c>
      <c r="K93" s="148">
        <v>187.27</v>
      </c>
    </row>
    <row r="94" spans="1:11" ht="31.5" hidden="1">
      <c r="A94" s="149">
        <v>11</v>
      </c>
      <c r="B94" s="12" t="s">
        <v>120</v>
      </c>
      <c r="C94" s="12"/>
      <c r="D94" s="44">
        <v>499.4</v>
      </c>
      <c r="E94" s="150"/>
      <c r="F94" s="44"/>
      <c r="G94" s="4"/>
      <c r="H94" s="4" t="e">
        <f>D95-#REF!</f>
        <v>#REF!</v>
      </c>
      <c r="I94" s="129" t="e">
        <f>ROUND(I92/I93,2)</f>
        <v>#REF!</v>
      </c>
      <c r="J94" s="4" t="e">
        <f>ROUND(J92/J93,2)</f>
        <v>#REF!</v>
      </c>
      <c r="K94" s="51" t="e">
        <f>ROUND(K92/K93,2)</f>
        <v>#REF!</v>
      </c>
    </row>
    <row r="95" spans="1:11" ht="15.75" hidden="1">
      <c r="A95" s="151">
        <v>12</v>
      </c>
      <c r="B95" s="12" t="s">
        <v>121</v>
      </c>
      <c r="C95" s="12"/>
      <c r="D95" s="48">
        <f>ROUND(D93/D94,2)</f>
        <v>0</v>
      </c>
      <c r="E95" s="4" t="e">
        <f>ROUND(E93/E94,2)</f>
        <v>#DIV/0!</v>
      </c>
      <c r="F95" s="4" t="e">
        <f>ROUND(F93/F94,2)</f>
        <v>#DIV/0!</v>
      </c>
      <c r="G95" s="4"/>
      <c r="H95" s="4" t="e">
        <f>D96-#REF!</f>
        <v>#REF!</v>
      </c>
      <c r="I95" s="129" t="e">
        <f>ROUND(I94*1.18,2)</f>
        <v>#REF!</v>
      </c>
      <c r="J95" s="4" t="e">
        <f>ROUND(J94*1.18,2)</f>
        <v>#REF!</v>
      </c>
      <c r="K95" s="51" t="e">
        <f>ROUND(K94*1.18,2)</f>
        <v>#REF!</v>
      </c>
    </row>
    <row r="96" spans="1:11" ht="15.75" hidden="1">
      <c r="A96" s="151"/>
      <c r="B96" s="152" t="s">
        <v>122</v>
      </c>
      <c r="C96" s="152"/>
      <c r="D96" s="48">
        <f>ROUND(D95*1.18,2)</f>
        <v>0</v>
      </c>
      <c r="E96" s="4" t="e">
        <f>ROUND(E95*1.18,2)</f>
        <v>#DIV/0!</v>
      </c>
      <c r="F96" s="4" t="e">
        <f>ROUND(F95*1.18,2)</f>
        <v>#DIV/0!</v>
      </c>
      <c r="G96" s="153"/>
      <c r="H96" s="4" t="e">
        <f>D97-#REF!</f>
        <v>#REF!</v>
      </c>
      <c r="I96" s="154"/>
      <c r="J96" s="153"/>
      <c r="K96" s="155"/>
    </row>
    <row r="97" spans="1:11" ht="32.25" hidden="1" thickBot="1">
      <c r="A97" s="156"/>
      <c r="B97" s="157" t="s">
        <v>251</v>
      </c>
      <c r="C97" s="157"/>
      <c r="D97" s="48">
        <v>31.51</v>
      </c>
      <c r="E97" s="158"/>
      <c r="F97" s="153"/>
      <c r="G97" s="56"/>
      <c r="H97" s="4" t="e">
        <f>D98-#REF!</f>
        <v>#REF!</v>
      </c>
      <c r="I97" s="159" t="e">
        <f>I95/D97*100</f>
        <v>#REF!</v>
      </c>
      <c r="J97" s="160" t="e">
        <f>J95/I95*100</f>
        <v>#REF!</v>
      </c>
      <c r="K97" s="161" t="e">
        <f>K95/J95*100</f>
        <v>#REF!</v>
      </c>
    </row>
    <row r="98" spans="1:11" ht="16.5" hidden="1" thickBot="1">
      <c r="B98" s="162" t="s">
        <v>123</v>
      </c>
      <c r="C98" s="157"/>
      <c r="D98" s="48"/>
      <c r="E98" s="163"/>
      <c r="F98" s="56"/>
      <c r="I98">
        <v>31.51</v>
      </c>
      <c r="J98">
        <v>31.51</v>
      </c>
      <c r="K98">
        <v>33.4</v>
      </c>
    </row>
    <row r="99" spans="1:11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>
      <c r="I101">
        <v>26.7</v>
      </c>
      <c r="J101">
        <v>26.7</v>
      </c>
      <c r="K101">
        <v>28.3</v>
      </c>
    </row>
    <row r="103" spans="1:11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>
      <c r="G105" s="13"/>
      <c r="H105" s="13"/>
      <c r="I105" s="13" t="e">
        <f>I92-I103</f>
        <v>#REF!</v>
      </c>
      <c r="J105" s="13" t="e">
        <f>J92-J103</f>
        <v>#REF!</v>
      </c>
      <c r="K105" s="13" t="e">
        <f>K92-K103</f>
        <v>#REF!</v>
      </c>
    </row>
    <row r="106" spans="1:11">
      <c r="E106" s="13">
        <f>E93-E104</f>
        <v>0</v>
      </c>
      <c r="F106" s="13">
        <f>F93-F104</f>
        <v>0</v>
      </c>
    </row>
    <row r="107" spans="1:11">
      <c r="K107">
        <v>29.37</v>
      </c>
    </row>
    <row r="109" spans="1:11">
      <c r="K109">
        <f>K107*K93</f>
        <v>5500.1199000000006</v>
      </c>
    </row>
    <row r="111" spans="1:11">
      <c r="K111" s="13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2"/>
  <sheetViews>
    <sheetView workbookViewId="0">
      <selection activeCell="C13" sqref="C13"/>
    </sheetView>
  </sheetViews>
  <sheetFormatPr defaultRowHeight="15"/>
  <cols>
    <col min="1" max="1" width="8.42578125" customWidth="1"/>
    <col min="2" max="2" width="38.85546875" customWidth="1"/>
    <col min="3" max="4" width="12.28515625" customWidth="1"/>
    <col min="5" max="5" width="12.85546875" style="164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>
      <c r="A1" s="115"/>
      <c r="B1" s="196" t="s">
        <v>252</v>
      </c>
      <c r="C1" s="196"/>
      <c r="D1" s="196"/>
      <c r="E1" s="196"/>
      <c r="F1" s="196"/>
      <c r="G1" s="196"/>
      <c r="H1" s="196"/>
      <c r="I1" s="196"/>
      <c r="Q1" s="77" t="s">
        <v>230</v>
      </c>
    </row>
    <row r="2" spans="1:17" ht="18.75">
      <c r="A2" s="115"/>
      <c r="B2" s="115"/>
      <c r="C2" s="115"/>
      <c r="D2" s="115"/>
      <c r="E2" s="118"/>
      <c r="F2" s="115"/>
    </row>
    <row r="3" spans="1:17" ht="18.75">
      <c r="A3" s="214" t="s">
        <v>180</v>
      </c>
      <c r="B3" s="214"/>
      <c r="C3" s="214"/>
      <c r="D3" s="214"/>
      <c r="E3" s="214"/>
      <c r="F3" s="214"/>
      <c r="G3" s="214"/>
      <c r="H3" s="214"/>
      <c r="I3" s="214"/>
    </row>
    <row r="4" spans="1:17" ht="18.75">
      <c r="A4" s="214" t="s">
        <v>239</v>
      </c>
      <c r="B4" s="214"/>
      <c r="C4" s="214"/>
      <c r="D4" s="214"/>
      <c r="E4" s="214"/>
      <c r="F4" s="214"/>
      <c r="G4" s="214"/>
      <c r="H4" s="214"/>
      <c r="I4" s="214"/>
    </row>
    <row r="5" spans="1:17" ht="18.75">
      <c r="A5" s="214" t="s">
        <v>240</v>
      </c>
      <c r="B5" s="214"/>
      <c r="C5" s="214"/>
      <c r="D5" s="214"/>
      <c r="E5" s="214"/>
      <c r="F5" s="214"/>
      <c r="G5" s="214"/>
      <c r="H5" s="214"/>
      <c r="I5" s="214"/>
    </row>
    <row r="6" spans="1:17" ht="15.75">
      <c r="A6" s="165"/>
      <c r="B6" s="165"/>
      <c r="C6" s="165"/>
      <c r="D6" s="165"/>
      <c r="E6" s="166"/>
      <c r="F6" s="165"/>
      <c r="G6" s="165"/>
      <c r="H6" s="165"/>
      <c r="I6" s="119" t="s">
        <v>147</v>
      </c>
    </row>
    <row r="7" spans="1:17" ht="21" customHeight="1">
      <c r="A7" s="221"/>
      <c r="B7" s="221" t="s">
        <v>0</v>
      </c>
      <c r="C7" s="221" t="s">
        <v>181</v>
      </c>
      <c r="D7" s="221" t="s">
        <v>253</v>
      </c>
      <c r="E7" s="221" t="s">
        <v>254</v>
      </c>
      <c r="F7" s="221"/>
      <c r="G7" s="221" t="s">
        <v>255</v>
      </c>
      <c r="H7" s="221"/>
      <c r="I7" s="221"/>
    </row>
    <row r="8" spans="1:17" ht="84.6" customHeight="1">
      <c r="A8" s="221"/>
      <c r="B8" s="221"/>
      <c r="C8" s="221"/>
      <c r="D8" s="221"/>
      <c r="E8" s="133" t="s">
        <v>151</v>
      </c>
      <c r="F8" s="48" t="s">
        <v>152</v>
      </c>
      <c r="G8" s="71" t="s">
        <v>246</v>
      </c>
      <c r="H8" s="71" t="s">
        <v>247</v>
      </c>
      <c r="I8" s="71" t="s">
        <v>248</v>
      </c>
    </row>
    <row r="9" spans="1:17" ht="16.899999999999999" customHeight="1">
      <c r="A9" s="48">
        <v>1</v>
      </c>
      <c r="B9" s="48">
        <v>2</v>
      </c>
      <c r="C9" s="48">
        <v>3</v>
      </c>
      <c r="D9" s="48">
        <v>4</v>
      </c>
      <c r="E9" s="133"/>
      <c r="F9" s="48"/>
      <c r="G9" s="48">
        <v>5</v>
      </c>
      <c r="H9" s="48">
        <v>6</v>
      </c>
      <c r="I9" s="48">
        <v>7</v>
      </c>
    </row>
    <row r="10" spans="1:17" s="1" customFormat="1" ht="17.45" customHeight="1">
      <c r="A10" s="48">
        <v>1</v>
      </c>
      <c r="B10" s="3" t="s">
        <v>1</v>
      </c>
      <c r="C10" s="4">
        <v>9999.0650000000005</v>
      </c>
      <c r="D10" s="4">
        <v>11592.77</v>
      </c>
      <c r="E10" s="48">
        <v>6710.6499999999987</v>
      </c>
      <c r="F10" s="48">
        <v>15839.28</v>
      </c>
      <c r="G10" s="4">
        <v>2815.79</v>
      </c>
      <c r="H10" s="48">
        <v>4222.5999999999995</v>
      </c>
      <c r="I10" s="48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>
      <c r="A11" s="48" t="s">
        <v>2</v>
      </c>
      <c r="B11" s="3" t="s">
        <v>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K11">
        <v>0</v>
      </c>
      <c r="L11">
        <v>0</v>
      </c>
    </row>
    <row r="12" spans="1:17" ht="35.25" customHeight="1">
      <c r="A12" s="48" t="s">
        <v>4</v>
      </c>
      <c r="B12" s="3" t="s">
        <v>5</v>
      </c>
      <c r="C12" s="4">
        <v>8864.875</v>
      </c>
      <c r="D12" s="4">
        <v>10070.81</v>
      </c>
      <c r="E12" s="133">
        <v>448.32</v>
      </c>
      <c r="F12" s="48">
        <v>7856.8000000000011</v>
      </c>
      <c r="G12" s="4">
        <v>2450.8999999999996</v>
      </c>
      <c r="H12" s="4">
        <v>3675.2699999999995</v>
      </c>
      <c r="I12" s="4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>
      <c r="A13" s="48" t="s">
        <v>6</v>
      </c>
      <c r="B13" s="3" t="s">
        <v>7</v>
      </c>
      <c r="C13" s="4">
        <v>1177</v>
      </c>
      <c r="D13" s="4">
        <v>2289.54</v>
      </c>
      <c r="E13" s="134">
        <v>448.32</v>
      </c>
      <c r="F13" s="4">
        <v>7856.8000000000011</v>
      </c>
      <c r="G13" s="4">
        <v>548.03</v>
      </c>
      <c r="H13" s="4">
        <v>821.28</v>
      </c>
      <c r="I13" s="4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>
      <c r="A14" s="48" t="s">
        <v>8</v>
      </c>
      <c r="B14" s="3" t="s">
        <v>177</v>
      </c>
      <c r="C14" s="135">
        <v>1177</v>
      </c>
      <c r="D14" s="4">
        <v>2289.54</v>
      </c>
      <c r="E14" s="133">
        <v>329.14</v>
      </c>
      <c r="F14" s="48">
        <v>7370.8700000000008</v>
      </c>
      <c r="G14" s="48">
        <v>548.03</v>
      </c>
      <c r="H14" s="48">
        <v>821.28</v>
      </c>
      <c r="I14" s="48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7" customFormat="1" ht="16.899999999999999" customHeight="1">
      <c r="A15" s="43"/>
      <c r="B15" s="5" t="s">
        <v>9</v>
      </c>
      <c r="C15" s="48">
        <v>676.43678160919546</v>
      </c>
      <c r="D15" s="43">
        <v>1179.1400000000001</v>
      </c>
      <c r="E15" s="167"/>
      <c r="F15" s="43"/>
      <c r="G15" s="43">
        <v>291.34999999999997</v>
      </c>
      <c r="H15" s="43">
        <v>436.62</v>
      </c>
      <c r="I15" s="43">
        <v>451.17</v>
      </c>
      <c r="K15" s="7">
        <v>1712.942</v>
      </c>
      <c r="L15" s="7">
        <v>1179.1400000000001</v>
      </c>
      <c r="M15" s="7">
        <v>291.34999999999997</v>
      </c>
      <c r="N15" s="7">
        <v>436.62</v>
      </c>
      <c r="O15" s="7">
        <v>451.17</v>
      </c>
    </row>
    <row r="16" spans="1:17" s="7" customFormat="1" ht="15.6" customHeight="1">
      <c r="A16" s="43"/>
      <c r="B16" s="5" t="s">
        <v>10</v>
      </c>
      <c r="C16" s="43">
        <v>1.7399999999999998</v>
      </c>
      <c r="D16" s="50">
        <v>1.9417032752684158</v>
      </c>
      <c r="E16" s="167"/>
      <c r="F16" s="43"/>
      <c r="G16" s="43">
        <v>1.8809999999999998</v>
      </c>
      <c r="H16" s="43">
        <v>1.8809999999999998</v>
      </c>
      <c r="I16" s="50">
        <v>2.0396549999999998</v>
      </c>
      <c r="K16" s="7">
        <v>1.92</v>
      </c>
      <c r="L16" s="7">
        <v>1.9417032752684158</v>
      </c>
      <c r="M16" s="7">
        <v>1.8809999999999998</v>
      </c>
      <c r="N16" s="7">
        <v>1.8809999999999998</v>
      </c>
      <c r="O16" s="7">
        <v>2.0396549999999998</v>
      </c>
    </row>
    <row r="17" spans="1:15" ht="32.450000000000003" hidden="1" customHeight="1">
      <c r="A17" s="48" t="s">
        <v>11</v>
      </c>
      <c r="B17" s="3" t="s">
        <v>249</v>
      </c>
      <c r="C17" s="4">
        <v>0</v>
      </c>
      <c r="D17" s="48">
        <v>0</v>
      </c>
      <c r="E17" s="133">
        <v>119.18</v>
      </c>
      <c r="F17" s="48">
        <v>485.92999999999995</v>
      </c>
      <c r="G17" s="48"/>
      <c r="H17" s="48"/>
      <c r="I17" s="48"/>
      <c r="K17">
        <v>0</v>
      </c>
      <c r="L17">
        <v>0</v>
      </c>
    </row>
    <row r="18" spans="1:15" s="7" customFormat="1" ht="16.149999999999999" hidden="1" customHeight="1">
      <c r="A18" s="43"/>
      <c r="B18" s="5" t="s">
        <v>9</v>
      </c>
      <c r="C18" s="43">
        <v>0</v>
      </c>
      <c r="D18" s="43"/>
      <c r="E18" s="167"/>
      <c r="F18" s="43"/>
      <c r="G18" s="43"/>
      <c r="H18" s="43"/>
      <c r="I18" s="43"/>
      <c r="K18" s="7">
        <v>0</v>
      </c>
    </row>
    <row r="19" spans="1:15" s="7" customFormat="1" ht="18.600000000000001" hidden="1" customHeight="1">
      <c r="A19" s="43"/>
      <c r="B19" s="5" t="s">
        <v>10</v>
      </c>
      <c r="C19" s="43">
        <v>0</v>
      </c>
      <c r="D19" s="168"/>
      <c r="E19" s="167"/>
      <c r="F19" s="43"/>
      <c r="G19" s="43"/>
      <c r="H19" s="43"/>
      <c r="I19" s="43"/>
      <c r="K19" s="7">
        <v>0</v>
      </c>
    </row>
    <row r="20" spans="1:15" ht="19.899999999999999" customHeight="1">
      <c r="A20" s="48" t="s">
        <v>12</v>
      </c>
      <c r="B20" s="3" t="s">
        <v>13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15" ht="19.149999999999999" customHeight="1">
      <c r="A21" s="48" t="s">
        <v>14</v>
      </c>
      <c r="B21" s="3" t="s">
        <v>15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15" ht="19.149999999999999" customHeight="1">
      <c r="A22" s="48" t="s">
        <v>16</v>
      </c>
      <c r="B22" s="3" t="s">
        <v>250</v>
      </c>
      <c r="C22" s="4">
        <v>7687.875</v>
      </c>
      <c r="D22" s="43">
        <v>7781.2699999999995</v>
      </c>
      <c r="E22" s="4">
        <v>0</v>
      </c>
      <c r="F22" s="4">
        <v>0</v>
      </c>
      <c r="G22" s="4">
        <v>1902.87</v>
      </c>
      <c r="H22" s="4">
        <v>2853.99</v>
      </c>
      <c r="I22" s="4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7" customFormat="1" ht="28.5" customHeight="1">
      <c r="A23" s="43" t="s">
        <v>17</v>
      </c>
      <c r="B23" s="5" t="s">
        <v>18</v>
      </c>
      <c r="C23" s="43">
        <v>539.5</v>
      </c>
      <c r="D23" s="43">
        <v>499.4</v>
      </c>
      <c r="E23" s="167"/>
      <c r="F23" s="43"/>
      <c r="G23" s="43">
        <v>124.86</v>
      </c>
      <c r="H23" s="43">
        <v>187.27</v>
      </c>
      <c r="I23" s="43">
        <v>187.27</v>
      </c>
      <c r="K23" s="7">
        <v>499.4</v>
      </c>
      <c r="L23" s="7">
        <v>499.4</v>
      </c>
      <c r="M23" s="7">
        <v>124.86</v>
      </c>
      <c r="N23" s="7">
        <v>187.27</v>
      </c>
      <c r="O23" s="7">
        <v>187.27</v>
      </c>
    </row>
    <row r="24" spans="1:15" s="7" customFormat="1" ht="16.899999999999999" customHeight="1">
      <c r="A24" s="43" t="s">
        <v>19</v>
      </c>
      <c r="B24" s="5" t="s">
        <v>20</v>
      </c>
      <c r="C24" s="43">
        <v>14.25</v>
      </c>
      <c r="D24" s="43"/>
      <c r="E24" s="167"/>
      <c r="F24" s="43"/>
      <c r="G24" s="43">
        <v>15.24</v>
      </c>
      <c r="H24" s="43">
        <v>15.24</v>
      </c>
      <c r="I24" s="43">
        <v>16.149999999999999</v>
      </c>
      <c r="K24" s="7">
        <v>15.24</v>
      </c>
      <c r="L24" s="7">
        <v>15.581237484981978</v>
      </c>
      <c r="M24" s="7">
        <v>15.24</v>
      </c>
      <c r="N24" s="7">
        <v>15.24</v>
      </c>
      <c r="O24" s="7">
        <v>16.149999999999999</v>
      </c>
    </row>
    <row r="25" spans="1:15" ht="34.9" customHeight="1">
      <c r="A25" s="48" t="s">
        <v>21</v>
      </c>
      <c r="B25" s="3" t="s">
        <v>22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15" ht="31.5">
      <c r="A26" s="48" t="s">
        <v>23</v>
      </c>
      <c r="B26" s="3" t="s">
        <v>24</v>
      </c>
      <c r="C26" s="48">
        <v>493.02</v>
      </c>
      <c r="D26" s="48">
        <v>916.42</v>
      </c>
      <c r="E26" s="133">
        <v>4302.3999999999996</v>
      </c>
      <c r="F26" s="48">
        <v>4056.64</v>
      </c>
      <c r="G26" s="48">
        <v>219.71</v>
      </c>
      <c r="H26" s="48">
        <v>329.57</v>
      </c>
      <c r="I26" s="48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7" customFormat="1" ht="15.75">
      <c r="A27" s="43" t="s">
        <v>25</v>
      </c>
      <c r="B27" s="5" t="s">
        <v>26</v>
      </c>
      <c r="C27" s="43">
        <v>2.4</v>
      </c>
      <c r="D27" s="43">
        <v>2.4</v>
      </c>
      <c r="E27" s="167"/>
      <c r="F27" s="43"/>
      <c r="G27" s="43">
        <v>2.4</v>
      </c>
      <c r="H27" s="43">
        <v>2.4</v>
      </c>
      <c r="I27" s="43">
        <v>2.4</v>
      </c>
      <c r="K27" s="7">
        <v>2.4</v>
      </c>
      <c r="L27" s="7">
        <v>2.4</v>
      </c>
      <c r="M27" s="7">
        <v>2.4</v>
      </c>
      <c r="N27" s="7">
        <v>2.4</v>
      </c>
      <c r="O27" s="7">
        <v>2.4</v>
      </c>
    </row>
    <row r="28" spans="1:15" s="7" customFormat="1" ht="15.75" hidden="1">
      <c r="A28" s="43" t="s">
        <v>153</v>
      </c>
      <c r="B28" s="5" t="s">
        <v>27</v>
      </c>
      <c r="C28" s="43"/>
      <c r="D28" s="43"/>
      <c r="E28" s="167"/>
      <c r="F28" s="43"/>
      <c r="G28" s="43"/>
      <c r="H28" s="43"/>
      <c r="I28" s="43"/>
    </row>
    <row r="29" spans="1:15" s="7" customFormat="1" ht="15.75" hidden="1">
      <c r="A29" s="43" t="s">
        <v>154</v>
      </c>
      <c r="B29" s="5" t="s">
        <v>28</v>
      </c>
      <c r="C29" s="43"/>
      <c r="D29" s="43"/>
      <c r="E29" s="167"/>
      <c r="F29" s="43"/>
      <c r="G29" s="43"/>
      <c r="H29" s="43"/>
      <c r="I29" s="43"/>
    </row>
    <row r="30" spans="1:15" s="61" customFormat="1" ht="31.5">
      <c r="A30" s="58" t="s">
        <v>155</v>
      </c>
      <c r="B30" s="59" t="s">
        <v>29</v>
      </c>
      <c r="C30" s="58">
        <v>17118.75</v>
      </c>
      <c r="D30" s="58">
        <v>23865.1</v>
      </c>
      <c r="E30" s="58" t="e">
        <v>#DIV/0!</v>
      </c>
      <c r="F30" s="58" t="e">
        <v>#DIV/0!</v>
      </c>
      <c r="G30" s="58">
        <v>22886.46</v>
      </c>
      <c r="H30" s="58">
        <v>22886.81</v>
      </c>
      <c r="I30" s="58">
        <v>25495.83</v>
      </c>
      <c r="K30" s="61">
        <v>37705.730000000003</v>
      </c>
      <c r="L30" s="61">
        <v>23865.1</v>
      </c>
      <c r="M30" s="61">
        <v>22886.46</v>
      </c>
      <c r="N30" s="61">
        <v>22886.81</v>
      </c>
      <c r="O30" s="61">
        <v>25495.83</v>
      </c>
    </row>
    <row r="31" spans="1:15" ht="15.75">
      <c r="A31" s="48" t="s">
        <v>30</v>
      </c>
      <c r="B31" s="3" t="s">
        <v>31</v>
      </c>
      <c r="C31" s="48">
        <v>150.37</v>
      </c>
      <c r="D31" s="48">
        <v>279.51</v>
      </c>
      <c r="E31" s="48">
        <v>1312.23</v>
      </c>
      <c r="F31" s="48">
        <v>1237.28</v>
      </c>
      <c r="G31" s="48">
        <v>67.010000000000005</v>
      </c>
      <c r="H31" s="48">
        <v>100.52</v>
      </c>
      <c r="I31" s="48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>
      <c r="A32" s="48" t="s">
        <v>156</v>
      </c>
      <c r="B32" s="3" t="s">
        <v>32</v>
      </c>
      <c r="C32" s="48">
        <v>30.5</v>
      </c>
      <c r="D32" s="48">
        <v>30.5</v>
      </c>
      <c r="E32" s="48">
        <v>30.5</v>
      </c>
      <c r="F32" s="48">
        <v>30.5</v>
      </c>
      <c r="G32" s="48">
        <v>30.5</v>
      </c>
      <c r="H32" s="48">
        <v>30.5</v>
      </c>
      <c r="I32" s="48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>
      <c r="A33" s="48" t="s">
        <v>33</v>
      </c>
      <c r="B33" s="3" t="s">
        <v>34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15" ht="33.75" customHeight="1">
      <c r="A34" s="48" t="s">
        <v>35</v>
      </c>
      <c r="B34" s="3" t="s">
        <v>36</v>
      </c>
      <c r="C34" s="4">
        <v>241.67</v>
      </c>
      <c r="D34" s="4">
        <v>326.03000000000003</v>
      </c>
      <c r="E34" s="4">
        <v>647.70000000000005</v>
      </c>
      <c r="F34" s="4">
        <v>2688.56</v>
      </c>
      <c r="G34" s="4">
        <v>78.17</v>
      </c>
      <c r="H34" s="4">
        <v>117.24000000000001</v>
      </c>
      <c r="I34" s="4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>
      <c r="A35" s="48" t="s">
        <v>182</v>
      </c>
      <c r="B35" s="3" t="s">
        <v>37</v>
      </c>
      <c r="C35" s="48">
        <v>185.19</v>
      </c>
      <c r="D35" s="48">
        <v>249.83</v>
      </c>
      <c r="E35" s="133">
        <v>496.32</v>
      </c>
      <c r="F35" s="48">
        <v>2060.1999999999998</v>
      </c>
      <c r="G35" s="48">
        <v>59.9</v>
      </c>
      <c r="H35" s="48">
        <v>89.84</v>
      </c>
      <c r="I35" s="48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>
      <c r="A36" s="48"/>
      <c r="B36" s="5" t="s">
        <v>26</v>
      </c>
      <c r="C36" s="48">
        <v>0.5</v>
      </c>
      <c r="D36" s="48">
        <v>0.5</v>
      </c>
      <c r="E36" s="133"/>
      <c r="F36" s="48"/>
      <c r="G36" s="48">
        <v>0.5</v>
      </c>
      <c r="H36" s="48">
        <v>0.5</v>
      </c>
      <c r="I36" s="48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>
      <c r="A37" s="48"/>
      <c r="B37" s="5" t="s">
        <v>28</v>
      </c>
      <c r="C37" s="48"/>
      <c r="D37" s="48"/>
      <c r="E37" s="133"/>
      <c r="F37" s="48"/>
      <c r="G37" s="48"/>
      <c r="H37" s="48"/>
      <c r="I37" s="48"/>
    </row>
    <row r="38" spans="1:15" s="57" customFormat="1" ht="30.75" customHeight="1">
      <c r="A38" s="71"/>
      <c r="B38" s="59" t="s">
        <v>29</v>
      </c>
      <c r="C38" s="9">
        <v>30865</v>
      </c>
      <c r="D38" s="9">
        <v>31228.75</v>
      </c>
      <c r="E38" s="9" t="e">
        <v>#DIV/0!</v>
      </c>
      <c r="F38" s="9" t="e">
        <v>#DIV/0!</v>
      </c>
      <c r="G38" s="9">
        <v>29950</v>
      </c>
      <c r="H38" s="9">
        <v>29946.666666666668</v>
      </c>
      <c r="I38" s="9">
        <v>33363.333333333336</v>
      </c>
      <c r="K38" s="57">
        <v>54206.250000000007</v>
      </c>
      <c r="L38" s="57">
        <v>31228.75</v>
      </c>
      <c r="M38" s="57">
        <v>29950</v>
      </c>
      <c r="N38" s="57">
        <v>29946.666666666668</v>
      </c>
      <c r="O38" s="57">
        <v>33363.333333333336</v>
      </c>
    </row>
    <row r="39" spans="1:15" ht="19.149999999999999" customHeight="1">
      <c r="A39" s="48" t="s">
        <v>183</v>
      </c>
      <c r="B39" s="3" t="s">
        <v>31</v>
      </c>
      <c r="C39" s="4">
        <v>56.48</v>
      </c>
      <c r="D39" s="4">
        <v>76.2</v>
      </c>
      <c r="E39" s="4">
        <v>151.38</v>
      </c>
      <c r="F39" s="4">
        <v>628.36</v>
      </c>
      <c r="G39" s="4">
        <v>18.27</v>
      </c>
      <c r="H39" s="4">
        <v>27.4</v>
      </c>
      <c r="I39" s="4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>
      <c r="A40" s="48" t="s">
        <v>38</v>
      </c>
      <c r="B40" s="3" t="s">
        <v>39</v>
      </c>
      <c r="C40" s="48">
        <v>0</v>
      </c>
      <c r="D40" s="48"/>
      <c r="E40" s="133"/>
      <c r="F40" s="48"/>
      <c r="G40" s="48"/>
      <c r="H40" s="48"/>
      <c r="I40" s="48"/>
    </row>
    <row r="41" spans="1:15" ht="19.149999999999999" hidden="1" customHeight="1">
      <c r="A41" s="48" t="s">
        <v>40</v>
      </c>
      <c r="B41" s="3" t="s">
        <v>41</v>
      </c>
      <c r="C41" s="48">
        <v>0</v>
      </c>
      <c r="D41" s="48"/>
      <c r="E41" s="133"/>
      <c r="F41" s="48"/>
      <c r="G41" s="48"/>
      <c r="H41" s="48"/>
      <c r="I41" s="48"/>
    </row>
    <row r="42" spans="1:15" ht="52.9" hidden="1" customHeight="1">
      <c r="A42" s="48" t="s">
        <v>42</v>
      </c>
      <c r="B42" s="3" t="s">
        <v>43</v>
      </c>
      <c r="C42" s="48">
        <v>249.13</v>
      </c>
      <c r="D42" s="48"/>
      <c r="E42" s="133"/>
      <c r="F42" s="48"/>
      <c r="G42" s="48"/>
      <c r="H42" s="48"/>
      <c r="I42" s="48"/>
    </row>
    <row r="43" spans="1:15" ht="21" customHeight="1">
      <c r="A43" s="48" t="s">
        <v>44</v>
      </c>
      <c r="B43" s="3" t="s">
        <v>45</v>
      </c>
      <c r="C43" s="48">
        <v>1378.71</v>
      </c>
      <c r="D43" s="4">
        <f t="shared" ref="D43:I43" si="0">D44+D49+D50+D54</f>
        <v>2448.3200000000002</v>
      </c>
      <c r="E43" s="4">
        <f t="shared" si="0"/>
        <v>6382.34</v>
      </c>
      <c r="F43" s="4">
        <f t="shared" si="0"/>
        <v>2018.29</v>
      </c>
      <c r="G43" s="4">
        <f t="shared" si="0"/>
        <v>514.27</v>
      </c>
      <c r="H43" s="4">
        <f t="shared" si="0"/>
        <v>771.4</v>
      </c>
      <c r="I43" s="4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>
      <c r="A44" s="48" t="s">
        <v>46</v>
      </c>
      <c r="B44" s="3" t="s">
        <v>47</v>
      </c>
      <c r="C44" s="4">
        <v>188.94</v>
      </c>
      <c r="D44" s="4">
        <f t="shared" ref="D44:I44" si="1">D45</f>
        <v>303.29000000000002</v>
      </c>
      <c r="E44" s="4">
        <f t="shared" si="1"/>
        <v>1181.6300000000001</v>
      </c>
      <c r="F44" s="4">
        <f t="shared" si="1"/>
        <v>529.39</v>
      </c>
      <c r="G44" s="4">
        <f t="shared" si="1"/>
        <v>0</v>
      </c>
      <c r="H44" s="4">
        <f t="shared" si="1"/>
        <v>0</v>
      </c>
      <c r="I44" s="4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>
      <c r="A45" s="48" t="s">
        <v>48</v>
      </c>
      <c r="B45" s="3" t="s">
        <v>49</v>
      </c>
      <c r="C45" s="4">
        <v>303.29000000000002</v>
      </c>
      <c r="D45" s="4">
        <f>G45+H45+I45</f>
        <v>303.29000000000002</v>
      </c>
      <c r="E45" s="134">
        <v>1181.6300000000001</v>
      </c>
      <c r="F45" s="4">
        <v>529.39</v>
      </c>
      <c r="G45" s="4">
        <v>0</v>
      </c>
      <c r="H45" s="4">
        <v>0</v>
      </c>
      <c r="I45" s="4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>
      <c r="A46" s="48" t="s">
        <v>50</v>
      </c>
      <c r="B46" s="3" t="s">
        <v>178</v>
      </c>
      <c r="C46" s="4"/>
      <c r="D46" s="4"/>
      <c r="E46" s="134">
        <v>4950.4399999999996</v>
      </c>
      <c r="F46" s="4">
        <v>161.04</v>
      </c>
      <c r="G46" s="4"/>
      <c r="H46" s="4"/>
      <c r="I46" s="4"/>
    </row>
    <row r="47" spans="1:15" ht="31.5" hidden="1">
      <c r="A47" s="48" t="s">
        <v>51</v>
      </c>
      <c r="B47" s="3" t="s">
        <v>52</v>
      </c>
      <c r="C47" s="4"/>
      <c r="D47" s="4"/>
      <c r="E47" s="134">
        <v>14304.9</v>
      </c>
      <c r="F47" s="4"/>
      <c r="G47" s="4"/>
      <c r="H47" s="4"/>
      <c r="I47" s="4"/>
    </row>
    <row r="48" spans="1:15" ht="31.5" hidden="1">
      <c r="A48" s="48" t="s">
        <v>53</v>
      </c>
      <c r="B48" s="3" t="s">
        <v>54</v>
      </c>
      <c r="C48" s="4">
        <v>0</v>
      </c>
      <c r="D48" s="4"/>
      <c r="E48" s="134"/>
      <c r="F48" s="4"/>
      <c r="G48" s="4"/>
      <c r="H48" s="4"/>
      <c r="I48" s="4"/>
    </row>
    <row r="49" spans="1:15" ht="15.75">
      <c r="A49" s="48" t="s">
        <v>55</v>
      </c>
      <c r="B49" s="3" t="s">
        <v>56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L49">
        <v>0</v>
      </c>
    </row>
    <row r="50" spans="1:15" ht="31.5">
      <c r="A50" s="48" t="s">
        <v>57</v>
      </c>
      <c r="B50" s="3" t="s">
        <v>58</v>
      </c>
      <c r="C50" s="48">
        <v>911.7</v>
      </c>
      <c r="D50" s="48">
        <v>1643.7</v>
      </c>
      <c r="E50" s="133">
        <v>3985.22</v>
      </c>
      <c r="F50" s="48">
        <v>1140.92</v>
      </c>
      <c r="G50" s="48">
        <v>394.08</v>
      </c>
      <c r="H50" s="48">
        <v>591.11</v>
      </c>
      <c r="I50" s="48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7" customFormat="1" ht="34.9" customHeight="1">
      <c r="A51" s="43" t="s">
        <v>59</v>
      </c>
      <c r="B51" s="5" t="s">
        <v>60</v>
      </c>
      <c r="C51" s="43">
        <v>4.3</v>
      </c>
      <c r="D51" s="43">
        <v>4.3</v>
      </c>
      <c r="E51" s="43">
        <v>4.3</v>
      </c>
      <c r="F51" s="43">
        <v>4.3</v>
      </c>
      <c r="G51" s="43">
        <v>4.3</v>
      </c>
      <c r="H51" s="43">
        <v>4.3</v>
      </c>
      <c r="I51" s="43">
        <v>4.3</v>
      </c>
      <c r="K51" s="7">
        <v>4.3</v>
      </c>
      <c r="L51" s="7">
        <v>4.3</v>
      </c>
      <c r="M51" s="7">
        <v>4.3</v>
      </c>
      <c r="N51" s="7">
        <v>4.3</v>
      </c>
      <c r="O51" s="7">
        <v>4.3</v>
      </c>
    </row>
    <row r="52" spans="1:15" s="7" customFormat="1" ht="15.75" hidden="1">
      <c r="A52" s="43" t="s">
        <v>61</v>
      </c>
      <c r="B52" s="5" t="s">
        <v>28</v>
      </c>
      <c r="C52" s="43"/>
      <c r="D52" s="43"/>
      <c r="E52" s="167"/>
      <c r="F52" s="43"/>
      <c r="G52" s="43"/>
      <c r="H52" s="43"/>
      <c r="I52" s="43"/>
    </row>
    <row r="53" spans="1:15" s="61" customFormat="1" ht="31.5">
      <c r="A53" s="58" t="s">
        <v>62</v>
      </c>
      <c r="B53" s="59" t="s">
        <v>29</v>
      </c>
      <c r="C53" s="60">
        <v>17668.60465116279</v>
      </c>
      <c r="D53" s="60">
        <v>23890.988372093023</v>
      </c>
      <c r="E53" s="60">
        <v>57924.70930232558</v>
      </c>
      <c r="F53" s="60">
        <v>16583.139534883725</v>
      </c>
      <c r="G53" s="60">
        <v>22911.627906976744</v>
      </c>
      <c r="H53" s="60">
        <v>22911.240310077519</v>
      </c>
      <c r="I53" s="60">
        <v>25523.643410852714</v>
      </c>
      <c r="K53" s="61">
        <v>33949.273255813954</v>
      </c>
      <c r="L53" s="61">
        <v>23890.988372093023</v>
      </c>
      <c r="M53" s="61">
        <v>22911.627906976744</v>
      </c>
      <c r="N53" s="61">
        <v>22911.240310077519</v>
      </c>
      <c r="O53" s="61">
        <v>25523.643410852714</v>
      </c>
    </row>
    <row r="54" spans="1:15" ht="15.75">
      <c r="A54" s="45" t="s">
        <v>63</v>
      </c>
      <c r="B54" s="3" t="s">
        <v>31</v>
      </c>
      <c r="C54" s="48">
        <v>278.07</v>
      </c>
      <c r="D54" s="48">
        <v>501.33000000000004</v>
      </c>
      <c r="E54" s="48">
        <v>1215.49</v>
      </c>
      <c r="F54" s="48">
        <v>347.98</v>
      </c>
      <c r="G54" s="48">
        <v>120.19</v>
      </c>
      <c r="H54" s="48">
        <v>180.29</v>
      </c>
      <c r="I54" s="48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>
      <c r="A55" s="48" t="s">
        <v>64</v>
      </c>
      <c r="B55" s="3" t="s">
        <v>65</v>
      </c>
      <c r="C55" s="48">
        <v>188.65</v>
      </c>
      <c r="D55" s="4">
        <v>192.08</v>
      </c>
      <c r="E55" s="4">
        <v>7602.04</v>
      </c>
      <c r="F55" s="4">
        <v>526.63</v>
      </c>
      <c r="G55" s="4">
        <v>0</v>
      </c>
      <c r="H55" s="4">
        <v>0</v>
      </c>
      <c r="I55" s="4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>
      <c r="A56" s="48" t="s">
        <v>66</v>
      </c>
      <c r="B56" s="3" t="s">
        <v>67</v>
      </c>
      <c r="C56" s="48"/>
      <c r="D56" s="4"/>
      <c r="E56" s="134"/>
      <c r="F56" s="4"/>
      <c r="G56" s="4"/>
      <c r="H56" s="4"/>
      <c r="I56" s="4"/>
    </row>
    <row r="57" spans="1:15" ht="31.5" hidden="1">
      <c r="A57" s="48" t="s">
        <v>68</v>
      </c>
      <c r="B57" s="3" t="s">
        <v>69</v>
      </c>
      <c r="C57" s="48"/>
      <c r="D57" s="4"/>
      <c r="E57" s="134">
        <v>1261</v>
      </c>
      <c r="F57" s="4"/>
      <c r="G57" s="4"/>
      <c r="H57" s="4"/>
      <c r="I57" s="4"/>
    </row>
    <row r="58" spans="1:15" s="7" customFormat="1" ht="15.75" hidden="1">
      <c r="A58" s="43" t="s">
        <v>70</v>
      </c>
      <c r="B58" s="5" t="s">
        <v>71</v>
      </c>
      <c r="C58" s="43"/>
      <c r="D58" s="6"/>
      <c r="E58" s="169"/>
      <c r="F58" s="6"/>
      <c r="G58" s="6"/>
      <c r="H58" s="6"/>
      <c r="I58" s="6"/>
    </row>
    <row r="59" spans="1:15" ht="15.75" hidden="1">
      <c r="A59" s="48" t="s">
        <v>72</v>
      </c>
      <c r="B59" s="3" t="s">
        <v>31</v>
      </c>
      <c r="C59" s="48"/>
      <c r="D59" s="4"/>
      <c r="E59" s="134">
        <v>383.3</v>
      </c>
      <c r="F59" s="4"/>
      <c r="G59" s="4"/>
      <c r="H59" s="4"/>
      <c r="I59" s="4"/>
    </row>
    <row r="60" spans="1:15" ht="31.5" hidden="1">
      <c r="A60" s="48" t="s">
        <v>73</v>
      </c>
      <c r="B60" s="3" t="s">
        <v>75</v>
      </c>
      <c r="C60" s="48"/>
      <c r="D60" s="4"/>
      <c r="E60" s="134"/>
      <c r="F60" s="4"/>
      <c r="G60" s="4"/>
      <c r="H60" s="4"/>
      <c r="I60" s="4"/>
    </row>
    <row r="61" spans="1:15" ht="15.75" hidden="1">
      <c r="A61" s="48" t="s">
        <v>74</v>
      </c>
      <c r="B61" s="3" t="s">
        <v>77</v>
      </c>
      <c r="C61" s="48"/>
      <c r="D61" s="4"/>
      <c r="E61" s="134"/>
      <c r="F61" s="4"/>
      <c r="G61" s="4"/>
      <c r="H61" s="4"/>
      <c r="I61" s="4"/>
    </row>
    <row r="62" spans="1:15" ht="31.5" customHeight="1">
      <c r="A62" s="48" t="s">
        <v>66</v>
      </c>
      <c r="B62" s="3" t="s">
        <v>79</v>
      </c>
      <c r="C62" s="48">
        <v>152.80000000000001</v>
      </c>
      <c r="D62" s="4">
        <f>G62+H62+I62</f>
        <v>192.08</v>
      </c>
      <c r="E62" s="134"/>
      <c r="F62" s="4"/>
      <c r="G62" s="4">
        <v>0</v>
      </c>
      <c r="H62" s="4">
        <v>0</v>
      </c>
      <c r="I62" s="4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>
      <c r="A63" s="48" t="s">
        <v>76</v>
      </c>
      <c r="B63" s="3" t="s">
        <v>81</v>
      </c>
      <c r="C63" s="48"/>
      <c r="D63" s="4"/>
      <c r="E63" s="134"/>
      <c r="F63" s="4"/>
      <c r="G63" s="4"/>
      <c r="H63" s="4"/>
      <c r="I63" s="4"/>
    </row>
    <row r="64" spans="1:15" ht="32.450000000000003" hidden="1" customHeight="1">
      <c r="A64" s="48" t="s">
        <v>78</v>
      </c>
      <c r="B64" s="3" t="s">
        <v>83</v>
      </c>
      <c r="C64" s="48"/>
      <c r="D64" s="4"/>
      <c r="E64" s="134"/>
      <c r="F64" s="4"/>
      <c r="G64" s="4"/>
      <c r="H64" s="4"/>
      <c r="I64" s="4"/>
    </row>
    <row r="65" spans="1:15" ht="32.450000000000003" hidden="1" customHeight="1">
      <c r="A65" s="48" t="s">
        <v>80</v>
      </c>
      <c r="B65" s="3" t="s">
        <v>84</v>
      </c>
      <c r="C65" s="48"/>
      <c r="D65" s="4"/>
      <c r="E65" s="134">
        <v>165.12</v>
      </c>
      <c r="F65" s="4">
        <v>94.92</v>
      </c>
      <c r="G65" s="4"/>
      <c r="H65" s="4"/>
      <c r="I65" s="4"/>
    </row>
    <row r="66" spans="1:15" ht="32.450000000000003" hidden="1" customHeight="1">
      <c r="A66" s="48" t="s">
        <v>82</v>
      </c>
      <c r="B66" s="3" t="s">
        <v>85</v>
      </c>
      <c r="C66" s="48"/>
      <c r="D66" s="4"/>
      <c r="E66" s="134"/>
      <c r="F66" s="4"/>
      <c r="G66" s="4"/>
      <c r="H66" s="4"/>
      <c r="I66" s="4"/>
    </row>
    <row r="67" spans="1:15" ht="32.450000000000003" hidden="1" customHeight="1">
      <c r="A67" s="48" t="s">
        <v>179</v>
      </c>
      <c r="B67" s="3" t="s">
        <v>86</v>
      </c>
      <c r="C67" s="48"/>
      <c r="D67" s="4"/>
      <c r="E67" s="134"/>
      <c r="F67" s="4"/>
      <c r="G67" s="4"/>
      <c r="H67" s="4"/>
      <c r="I67" s="4"/>
    </row>
    <row r="68" spans="1:15" ht="46.5" customHeight="1">
      <c r="A68" s="48" t="s">
        <v>68</v>
      </c>
      <c r="B68" s="3" t="s">
        <v>87</v>
      </c>
      <c r="C68" s="48">
        <v>35.85</v>
      </c>
      <c r="D68" s="4">
        <v>0</v>
      </c>
      <c r="E68" s="134">
        <v>5792.62</v>
      </c>
      <c r="F68" s="4">
        <v>431.71</v>
      </c>
      <c r="G68" s="4">
        <v>0</v>
      </c>
      <c r="H68" s="4">
        <v>0</v>
      </c>
      <c r="I68" s="4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>
      <c r="A69" s="48" t="s">
        <v>88</v>
      </c>
      <c r="B69" s="3" t="s">
        <v>89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1:15" ht="31.5" hidden="1">
      <c r="A70" s="48" t="s">
        <v>90</v>
      </c>
      <c r="B70" s="3" t="s">
        <v>91</v>
      </c>
      <c r="C70" s="48"/>
      <c r="D70" s="4"/>
      <c r="E70" s="134"/>
      <c r="F70" s="4"/>
      <c r="G70" s="4"/>
      <c r="H70" s="4"/>
      <c r="I70" s="4"/>
    </row>
    <row r="71" spans="1:15" ht="31.5" hidden="1">
      <c r="A71" s="48" t="s">
        <v>92</v>
      </c>
      <c r="B71" s="3" t="s">
        <v>93</v>
      </c>
      <c r="C71" s="48"/>
      <c r="D71" s="4"/>
      <c r="E71" s="134"/>
      <c r="F71" s="4"/>
      <c r="G71" s="4"/>
      <c r="H71" s="4"/>
      <c r="I71" s="4"/>
    </row>
    <row r="72" spans="1:15" s="7" customFormat="1" ht="15.75" hidden="1">
      <c r="A72" s="43" t="s">
        <v>94</v>
      </c>
      <c r="B72" s="5" t="s">
        <v>71</v>
      </c>
      <c r="C72" s="43"/>
      <c r="D72" s="6"/>
      <c r="E72" s="169"/>
      <c r="F72" s="6"/>
      <c r="G72" s="6"/>
      <c r="H72" s="6"/>
      <c r="I72" s="6"/>
    </row>
    <row r="73" spans="1:15" ht="15.75" hidden="1">
      <c r="A73" s="48" t="s">
        <v>95</v>
      </c>
      <c r="B73" s="3" t="s">
        <v>31</v>
      </c>
      <c r="C73" s="48"/>
      <c r="D73" s="4"/>
      <c r="E73" s="134"/>
      <c r="F73" s="4"/>
      <c r="G73" s="4"/>
      <c r="H73" s="4"/>
      <c r="I73" s="4"/>
    </row>
    <row r="74" spans="1:15" ht="30.6" hidden="1" customHeight="1">
      <c r="A74" s="48" t="s">
        <v>96</v>
      </c>
      <c r="B74" s="3" t="s">
        <v>97</v>
      </c>
      <c r="C74" s="48"/>
      <c r="D74" s="4"/>
      <c r="E74" s="134"/>
      <c r="F74" s="4"/>
      <c r="G74" s="4"/>
      <c r="H74" s="4"/>
      <c r="I74" s="4"/>
    </row>
    <row r="75" spans="1:15" ht="22.15" customHeight="1">
      <c r="A75" s="48" t="s">
        <v>98</v>
      </c>
      <c r="B75" s="3" t="s">
        <v>99</v>
      </c>
      <c r="C75" s="48">
        <v>169</v>
      </c>
      <c r="D75" s="4">
        <f>G75+H75+I75</f>
        <v>258.17</v>
      </c>
      <c r="E75" s="134"/>
      <c r="F75" s="4"/>
      <c r="G75" s="4">
        <v>0</v>
      </c>
      <c r="H75" s="4">
        <v>0</v>
      </c>
      <c r="I75" s="4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>
      <c r="A76" s="48" t="s">
        <v>157</v>
      </c>
      <c r="B76" s="3" t="s">
        <v>100</v>
      </c>
      <c r="C76" s="4">
        <v>0</v>
      </c>
      <c r="D76" s="4">
        <v>0</v>
      </c>
      <c r="E76" s="4">
        <v>176.71</v>
      </c>
      <c r="F76" s="4">
        <v>4658.3899999999994</v>
      </c>
      <c r="G76" s="4">
        <v>0</v>
      </c>
      <c r="H76" s="4">
        <v>0</v>
      </c>
      <c r="I76" s="4">
        <v>0</v>
      </c>
      <c r="K76">
        <v>0</v>
      </c>
      <c r="L76">
        <v>0</v>
      </c>
    </row>
    <row r="77" spans="1:15" ht="15.75" hidden="1">
      <c r="A77" s="48" t="s">
        <v>166</v>
      </c>
      <c r="B77" s="3" t="s">
        <v>101</v>
      </c>
      <c r="C77" s="48"/>
      <c r="D77" s="4"/>
      <c r="E77" s="134">
        <v>176.71</v>
      </c>
      <c r="F77" s="4">
        <v>4658.3899999999994</v>
      </c>
      <c r="G77" s="4"/>
      <c r="H77" s="4"/>
      <c r="I77" s="4"/>
    </row>
    <row r="78" spans="1:15" ht="15.75" hidden="1">
      <c r="A78" s="48" t="s">
        <v>102</v>
      </c>
      <c r="B78" s="3" t="s">
        <v>103</v>
      </c>
      <c r="C78" s="48"/>
      <c r="D78" s="4"/>
      <c r="E78" s="134"/>
      <c r="F78" s="4"/>
      <c r="G78" s="4"/>
      <c r="H78" s="4"/>
      <c r="I78" s="4"/>
    </row>
    <row r="79" spans="1:15" ht="15.75" hidden="1">
      <c r="A79" s="48" t="s">
        <v>104</v>
      </c>
      <c r="B79" s="3" t="s">
        <v>105</v>
      </c>
      <c r="C79" s="48"/>
      <c r="D79" s="4"/>
      <c r="E79" s="134"/>
      <c r="F79" s="4"/>
      <c r="G79" s="4"/>
      <c r="H79" s="4"/>
      <c r="I79" s="4"/>
    </row>
    <row r="80" spans="1:15" ht="34.9" customHeight="1">
      <c r="A80" s="48" t="s">
        <v>106</v>
      </c>
      <c r="B80" s="3" t="s">
        <v>107</v>
      </c>
      <c r="C80" s="48">
        <v>98.7</v>
      </c>
      <c r="D80" s="4">
        <f>D83</f>
        <v>131.65</v>
      </c>
      <c r="E80" s="4">
        <f>E83</f>
        <v>0</v>
      </c>
      <c r="F80" s="4">
        <f>F83</f>
        <v>0</v>
      </c>
      <c r="G80" s="4">
        <f>G83</f>
        <v>0</v>
      </c>
      <c r="H80" s="4">
        <f>H83</f>
        <v>0</v>
      </c>
      <c r="I80" s="4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>
      <c r="A81" s="48" t="s">
        <v>108</v>
      </c>
      <c r="B81" s="170" t="s">
        <v>158</v>
      </c>
      <c r="C81" s="48">
        <v>0</v>
      </c>
      <c r="D81" s="4"/>
      <c r="E81" s="134"/>
      <c r="F81" s="4"/>
      <c r="G81" s="4"/>
      <c r="H81" s="4"/>
      <c r="I81" s="4"/>
    </row>
    <row r="82" spans="1:15" ht="40.9" hidden="1" customHeight="1">
      <c r="A82" s="48" t="s">
        <v>109</v>
      </c>
      <c r="B82" s="170" t="s">
        <v>110</v>
      </c>
      <c r="C82" s="48">
        <v>0</v>
      </c>
      <c r="D82" s="4"/>
      <c r="E82" s="134">
        <v>943.42</v>
      </c>
      <c r="F82" s="4">
        <v>1407.19</v>
      </c>
      <c r="G82" s="4"/>
      <c r="H82" s="4"/>
      <c r="I82" s="4"/>
    </row>
    <row r="83" spans="1:15" ht="18.600000000000001" customHeight="1">
      <c r="A83" s="48" t="s">
        <v>108</v>
      </c>
      <c r="B83" s="171" t="s">
        <v>111</v>
      </c>
      <c r="C83" s="48">
        <v>98.7</v>
      </c>
      <c r="D83" s="4">
        <f>G83+H83+I83</f>
        <v>131.65</v>
      </c>
      <c r="E83" s="134"/>
      <c r="F83" s="4"/>
      <c r="G83" s="4">
        <v>0</v>
      </c>
      <c r="H83" s="4">
        <v>0</v>
      </c>
      <c r="I83" s="4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0" customFormat="1" ht="19.5" customHeight="1">
      <c r="A84" s="48"/>
      <c r="B84" s="3" t="s">
        <v>112</v>
      </c>
      <c r="C84" s="4">
        <v>11834.125000000002</v>
      </c>
      <c r="D84" s="4">
        <f t="shared" ref="D84:I84" si="2">D10+D43+D55+D69+D75+D76+D80</f>
        <v>14622.99</v>
      </c>
      <c r="E84" s="4">
        <f t="shared" si="2"/>
        <v>20871.739999999998</v>
      </c>
      <c r="F84" s="4">
        <f t="shared" si="2"/>
        <v>23042.59</v>
      </c>
      <c r="G84" s="4">
        <f t="shared" si="2"/>
        <v>3330.06</v>
      </c>
      <c r="H84" s="4">
        <f t="shared" si="2"/>
        <v>4993.9999999999991</v>
      </c>
      <c r="I84" s="4">
        <f t="shared" si="2"/>
        <v>6298.9299999999985</v>
      </c>
      <c r="K84" s="10">
        <v>18618.574639999999</v>
      </c>
      <c r="L84" s="10">
        <v>14622.99</v>
      </c>
      <c r="M84" s="10">
        <v>3330.06</v>
      </c>
      <c r="N84" s="10">
        <v>4993.9999999999991</v>
      </c>
      <c r="O84" s="10">
        <v>6298.9299999999985</v>
      </c>
    </row>
    <row r="85" spans="1:15" s="10" customFormat="1" ht="20.25" customHeight="1">
      <c r="A85" s="48">
        <v>8</v>
      </c>
      <c r="B85" s="3" t="s">
        <v>113</v>
      </c>
      <c r="C85" s="4">
        <v>0.96162580672419784</v>
      </c>
      <c r="D85" s="4">
        <f t="shared" ref="D85:I85" si="3">D86/D84*100</f>
        <v>0.10900643438858948</v>
      </c>
      <c r="E85" s="4">
        <f t="shared" si="3"/>
        <v>3.9828974488950135</v>
      </c>
      <c r="F85" s="4">
        <f t="shared" si="3"/>
        <v>0.20830991655017947</v>
      </c>
      <c r="G85" s="4">
        <f t="shared" si="3"/>
        <v>0.11170969892434371</v>
      </c>
      <c r="H85" s="4">
        <f t="shared" si="3"/>
        <v>0.12234681617941531</v>
      </c>
      <c r="I85" s="4">
        <f t="shared" si="3"/>
        <v>9.7000601689493302E-2</v>
      </c>
      <c r="K85" s="10">
        <v>0.49735278768901509</v>
      </c>
      <c r="L85" s="10">
        <v>0.10900643438858948</v>
      </c>
      <c r="M85" s="10">
        <v>0.11170969892434371</v>
      </c>
      <c r="N85" s="10">
        <v>0.12234681617941531</v>
      </c>
      <c r="O85" s="10">
        <v>9.7000601689493302E-2</v>
      </c>
    </row>
    <row r="86" spans="1:15" ht="19.5" customHeight="1">
      <c r="A86" s="48">
        <v>9</v>
      </c>
      <c r="B86" s="3" t="s">
        <v>114</v>
      </c>
      <c r="C86" s="48">
        <v>113.8</v>
      </c>
      <c r="D86" s="48">
        <v>15.94</v>
      </c>
      <c r="E86" s="48">
        <v>831.3</v>
      </c>
      <c r="F86" s="48">
        <v>48</v>
      </c>
      <c r="G86" s="48">
        <v>3.7199999999999998</v>
      </c>
      <c r="H86" s="48">
        <v>6.1099999999999994</v>
      </c>
      <c r="I86" s="48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>
      <c r="A87" s="48" t="s">
        <v>141</v>
      </c>
      <c r="B87" s="3" t="s">
        <v>115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</row>
    <row r="88" spans="1:15" ht="15.75">
      <c r="A88" s="48" t="s">
        <v>142</v>
      </c>
      <c r="B88" s="171" t="s">
        <v>116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</row>
    <row r="89" spans="1:15" ht="30" customHeight="1">
      <c r="A89" s="45" t="s">
        <v>143</v>
      </c>
      <c r="B89" s="171" t="s">
        <v>117</v>
      </c>
      <c r="C89" s="4">
        <v>94.83</v>
      </c>
      <c r="D89" s="4">
        <v>12.86</v>
      </c>
      <c r="E89" s="134">
        <v>190</v>
      </c>
      <c r="F89" s="4">
        <v>40</v>
      </c>
      <c r="G89" s="4">
        <v>3</v>
      </c>
      <c r="H89" s="4">
        <v>4.93</v>
      </c>
      <c r="I89" s="4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>
      <c r="A90" s="48" t="s">
        <v>144</v>
      </c>
      <c r="B90" s="171" t="s">
        <v>118</v>
      </c>
      <c r="C90" s="4">
        <v>0</v>
      </c>
      <c r="D90" s="4">
        <v>0</v>
      </c>
      <c r="E90" s="134"/>
      <c r="F90" s="4"/>
      <c r="G90" s="4">
        <v>0</v>
      </c>
      <c r="H90" s="4">
        <v>0</v>
      </c>
      <c r="I90" s="4">
        <v>0</v>
      </c>
      <c r="K90">
        <v>0</v>
      </c>
      <c r="L90">
        <v>0</v>
      </c>
    </row>
    <row r="91" spans="1:15" ht="15.75">
      <c r="A91" s="48" t="s">
        <v>145</v>
      </c>
      <c r="B91" s="171" t="s">
        <v>159</v>
      </c>
      <c r="C91" s="48">
        <v>18.97</v>
      </c>
      <c r="D91" s="48">
        <v>3.08</v>
      </c>
      <c r="E91" s="48">
        <v>641.29999999999995</v>
      </c>
      <c r="F91" s="48">
        <v>8</v>
      </c>
      <c r="G91" s="48">
        <v>0.72</v>
      </c>
      <c r="H91" s="48">
        <v>1.18</v>
      </c>
      <c r="I91" s="48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>
      <c r="A92" s="146" t="s">
        <v>160</v>
      </c>
      <c r="B92" s="171" t="s">
        <v>161</v>
      </c>
      <c r="C92" s="48">
        <v>18.97</v>
      </c>
      <c r="D92" s="48">
        <v>3.08</v>
      </c>
      <c r="E92" s="133">
        <v>641.29999999999995</v>
      </c>
      <c r="F92" s="48">
        <v>8</v>
      </c>
      <c r="G92" s="48">
        <v>0.72</v>
      </c>
      <c r="H92" s="48">
        <v>1.18</v>
      </c>
      <c r="I92" s="48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0" customFormat="1" ht="15.75">
      <c r="A93" s="48">
        <v>10</v>
      </c>
      <c r="B93" s="3" t="s">
        <v>119</v>
      </c>
      <c r="C93" s="4">
        <v>11947.925000000001</v>
      </c>
      <c r="D93" s="4">
        <f t="shared" ref="D93:I93" si="4">D84+D86</f>
        <v>14638.93</v>
      </c>
      <c r="E93" s="4">
        <f t="shared" si="4"/>
        <v>21703.039999999997</v>
      </c>
      <c r="F93" s="4">
        <f t="shared" si="4"/>
        <v>23090.59</v>
      </c>
      <c r="G93" s="4">
        <f t="shared" si="4"/>
        <v>3333.7799999999997</v>
      </c>
      <c r="H93" s="4">
        <f t="shared" si="4"/>
        <v>5000.1099999999988</v>
      </c>
      <c r="I93" s="4">
        <f t="shared" si="4"/>
        <v>6305.0399999999981</v>
      </c>
      <c r="K93" s="10">
        <v>18711.174639999997</v>
      </c>
      <c r="L93" s="10">
        <v>14638.93</v>
      </c>
      <c r="M93" s="10">
        <v>3333.7799999999997</v>
      </c>
      <c r="N93" s="10">
        <v>5000.1099999999988</v>
      </c>
      <c r="O93" s="10">
        <v>6305.0399999999981</v>
      </c>
    </row>
    <row r="94" spans="1:15" s="10" customFormat="1" ht="30.75" customHeight="1">
      <c r="A94" s="48">
        <v>11</v>
      </c>
      <c r="B94" s="49" t="s">
        <v>256</v>
      </c>
      <c r="C94" s="48">
        <v>469.5</v>
      </c>
      <c r="D94" s="48">
        <v>499.4</v>
      </c>
      <c r="E94" s="133"/>
      <c r="F94" s="48"/>
      <c r="G94" s="48">
        <v>124.86</v>
      </c>
      <c r="H94" s="48">
        <v>187.27</v>
      </c>
      <c r="I94" s="48">
        <v>187.27</v>
      </c>
      <c r="K94" s="10">
        <v>499.4</v>
      </c>
      <c r="L94" s="10">
        <v>499.4</v>
      </c>
      <c r="M94" s="10">
        <v>124.86</v>
      </c>
      <c r="N94" s="10">
        <v>187.27</v>
      </c>
      <c r="O94" s="10">
        <v>187.27</v>
      </c>
    </row>
    <row r="95" spans="1:15" ht="15.75">
      <c r="A95" s="48">
        <v>12</v>
      </c>
      <c r="B95" s="49" t="s">
        <v>121</v>
      </c>
      <c r="C95" s="48">
        <f t="shared" ref="C95:I95" si="5">ROUND(C93/C94,2)</f>
        <v>25.45</v>
      </c>
      <c r="D95" s="4">
        <f t="shared" si="5"/>
        <v>29.31</v>
      </c>
      <c r="E95" s="4" t="e">
        <f t="shared" si="5"/>
        <v>#DIV/0!</v>
      </c>
      <c r="F95" s="4" t="e">
        <f t="shared" si="5"/>
        <v>#DIV/0!</v>
      </c>
      <c r="G95" s="4">
        <f t="shared" si="5"/>
        <v>26.7</v>
      </c>
      <c r="H95" s="4">
        <f t="shared" si="5"/>
        <v>26.7</v>
      </c>
      <c r="I95" s="4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>
      <c r="A96" s="48"/>
      <c r="B96" s="3" t="s">
        <v>122</v>
      </c>
      <c r="C96" s="48">
        <f>ROUND(C95*1.18,2)</f>
        <v>30.03</v>
      </c>
      <c r="D96" s="48">
        <f t="shared" ref="D96:I96" si="6">ROUND(D95*1.18,2)</f>
        <v>34.590000000000003</v>
      </c>
      <c r="E96" s="48" t="e">
        <f t="shared" si="6"/>
        <v>#DIV/0!</v>
      </c>
      <c r="F96" s="48" t="e">
        <f t="shared" si="6"/>
        <v>#DIV/0!</v>
      </c>
      <c r="G96" s="48">
        <f t="shared" si="6"/>
        <v>31.51</v>
      </c>
      <c r="H96" s="48">
        <f t="shared" si="6"/>
        <v>31.51</v>
      </c>
      <c r="I96" s="48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>
      <c r="A97" s="48"/>
      <c r="B97" s="3" t="s">
        <v>251</v>
      </c>
      <c r="C97" s="48">
        <v>31.51</v>
      </c>
      <c r="D97" s="4"/>
      <c r="E97" s="133"/>
      <c r="F97" s="48"/>
      <c r="G97" s="48"/>
      <c r="H97" s="48"/>
      <c r="I97" s="48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>
      <c r="A98" s="48"/>
      <c r="B98" s="3" t="s">
        <v>123</v>
      </c>
      <c r="C98" s="48"/>
      <c r="D98" s="48"/>
      <c r="E98" s="133"/>
      <c r="F98" s="48"/>
      <c r="G98" s="4">
        <v>100</v>
      </c>
      <c r="H98" s="4">
        <v>100</v>
      </c>
      <c r="I98" s="4">
        <f>I96/H96*100</f>
        <v>126.08695652173911</v>
      </c>
    </row>
    <row r="106" spans="1:15">
      <c r="D106" s="13"/>
      <c r="E106" s="13"/>
      <c r="F106" s="13"/>
      <c r="G106" s="13"/>
      <c r="H106" s="13"/>
      <c r="I106" s="13"/>
    </row>
    <row r="112" spans="1:15">
      <c r="D112" s="13"/>
      <c r="I112" s="13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topLeftCell="A4" workbookViewId="0">
      <selection activeCell="M16" sqref="M16"/>
    </sheetView>
  </sheetViews>
  <sheetFormatPr defaultRowHeight="1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>
      <c r="A1" s="62" t="s">
        <v>184</v>
      </c>
    </row>
    <row r="2" spans="1:14" ht="18.75">
      <c r="A2" s="62"/>
    </row>
    <row r="3" spans="1:14" ht="15.75">
      <c r="A3" s="63"/>
    </row>
    <row r="4" spans="1:14" ht="18.75">
      <c r="A4" s="64" t="s">
        <v>206</v>
      </c>
    </row>
    <row r="5" spans="1:14" ht="19.5" thickBot="1">
      <c r="A5" s="64"/>
    </row>
    <row r="6" spans="1:14">
      <c r="A6" s="224" t="s">
        <v>140</v>
      </c>
      <c r="B6" s="224" t="s">
        <v>185</v>
      </c>
      <c r="C6" s="229" t="s">
        <v>186</v>
      </c>
      <c r="D6" s="229" t="s">
        <v>187</v>
      </c>
      <c r="E6" s="224" t="s">
        <v>188</v>
      </c>
      <c r="F6" s="224" t="s">
        <v>189</v>
      </c>
      <c r="G6" s="224" t="s">
        <v>190</v>
      </c>
      <c r="H6" s="224" t="s">
        <v>191</v>
      </c>
      <c r="I6" s="224" t="s">
        <v>192</v>
      </c>
      <c r="J6" s="224" t="s">
        <v>193</v>
      </c>
      <c r="K6" s="224" t="s">
        <v>194</v>
      </c>
      <c r="L6" s="224" t="s">
        <v>195</v>
      </c>
      <c r="M6" s="224" t="s">
        <v>196</v>
      </c>
      <c r="N6" s="224" t="s">
        <v>197</v>
      </c>
    </row>
    <row r="7" spans="1:14" ht="15.75" thickBot="1">
      <c r="A7" s="225"/>
      <c r="B7" s="225"/>
      <c r="C7" s="230"/>
      <c r="D7" s="230"/>
      <c r="E7" s="225"/>
      <c r="F7" s="225"/>
      <c r="G7" s="225"/>
      <c r="H7" s="225"/>
      <c r="I7" s="225"/>
      <c r="J7" s="225"/>
      <c r="K7" s="225"/>
      <c r="L7" s="225"/>
      <c r="M7" s="225"/>
      <c r="N7" s="225"/>
    </row>
    <row r="8" spans="1:14" ht="16.5" thickBot="1">
      <c r="A8" s="65">
        <v>1</v>
      </c>
      <c r="B8" s="66">
        <v>2</v>
      </c>
      <c r="C8" s="66">
        <v>3</v>
      </c>
      <c r="D8" s="66">
        <v>4</v>
      </c>
      <c r="E8" s="66">
        <v>5</v>
      </c>
      <c r="F8" s="66">
        <v>6</v>
      </c>
      <c r="G8" s="66">
        <v>7</v>
      </c>
      <c r="H8" s="66">
        <v>8</v>
      </c>
      <c r="I8" s="66">
        <v>9</v>
      </c>
      <c r="J8" s="66">
        <v>10</v>
      </c>
      <c r="K8" s="66">
        <v>11</v>
      </c>
      <c r="L8" s="66">
        <v>12</v>
      </c>
      <c r="M8" s="66">
        <v>13</v>
      </c>
      <c r="N8" s="66">
        <v>14</v>
      </c>
    </row>
    <row r="9" spans="1:14" ht="16.5" thickBot="1">
      <c r="A9" s="226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8"/>
    </row>
    <row r="10" spans="1:14" ht="16.5" thickBot="1">
      <c r="A10" s="65">
        <v>1</v>
      </c>
      <c r="B10" s="66" t="s">
        <v>198</v>
      </c>
      <c r="C10" s="66">
        <v>1</v>
      </c>
      <c r="D10" s="66">
        <v>18</v>
      </c>
      <c r="E10" s="66">
        <v>4.5</v>
      </c>
      <c r="F10" s="66">
        <v>22649.13</v>
      </c>
      <c r="G10" s="66">
        <v>1.4</v>
      </c>
      <c r="H10" s="66">
        <f>F10*12.5%</f>
        <v>2831.1412500000001</v>
      </c>
      <c r="I10" s="222">
        <f>(F10+H10)*60%</f>
        <v>15288.16275</v>
      </c>
      <c r="J10" s="223"/>
      <c r="K10" s="66">
        <f t="shared" ref="K10:K16" si="0">F10+H10+I10</f>
        <v>40768.434000000001</v>
      </c>
      <c r="L10" s="66">
        <f t="shared" ref="L10:L16" si="1">K10*C10</f>
        <v>40768.434000000001</v>
      </c>
      <c r="M10" s="66">
        <f>L10*14</f>
        <v>570758.076</v>
      </c>
      <c r="N10" s="66"/>
    </row>
    <row r="11" spans="1:14" ht="16.5" thickBot="1">
      <c r="A11" s="65">
        <v>2</v>
      </c>
      <c r="B11" s="66" t="s">
        <v>199</v>
      </c>
      <c r="C11" s="66">
        <v>0.5</v>
      </c>
      <c r="D11" s="66">
        <v>16</v>
      </c>
      <c r="E11" s="66">
        <v>3.9</v>
      </c>
      <c r="F11" s="66">
        <v>19629.25</v>
      </c>
      <c r="G11" s="66">
        <v>1.4</v>
      </c>
      <c r="H11" s="66">
        <f t="shared" ref="H11:H16" si="2">F11*12.5%</f>
        <v>2453.65625</v>
      </c>
      <c r="I11" s="222">
        <f t="shared" ref="I11:I16" si="3">(F11+H11)*60%</f>
        <v>13249.74375</v>
      </c>
      <c r="J11" s="223"/>
      <c r="K11" s="66">
        <f t="shared" si="0"/>
        <v>35332.65</v>
      </c>
      <c r="L11" s="66">
        <f t="shared" si="1"/>
        <v>17666.325000000001</v>
      </c>
      <c r="M11" s="66">
        <f t="shared" ref="M11:M16" si="4">L11*14</f>
        <v>247328.55000000002</v>
      </c>
      <c r="N11" s="66"/>
    </row>
    <row r="12" spans="1:14" ht="16.5" thickBot="1">
      <c r="A12" s="65">
        <v>3</v>
      </c>
      <c r="B12" s="66" t="s">
        <v>200</v>
      </c>
      <c r="C12" s="66">
        <v>0.5</v>
      </c>
      <c r="D12" s="66">
        <v>16</v>
      </c>
      <c r="E12" s="66">
        <v>3.9</v>
      </c>
      <c r="F12" s="66">
        <v>19629.25</v>
      </c>
      <c r="G12" s="66">
        <v>1.4</v>
      </c>
      <c r="H12" s="66">
        <f t="shared" si="2"/>
        <v>2453.65625</v>
      </c>
      <c r="I12" s="222">
        <f t="shared" si="3"/>
        <v>13249.74375</v>
      </c>
      <c r="J12" s="223"/>
      <c r="K12" s="66">
        <f t="shared" si="0"/>
        <v>35332.65</v>
      </c>
      <c r="L12" s="66">
        <f t="shared" si="1"/>
        <v>17666.325000000001</v>
      </c>
      <c r="M12" s="66">
        <f t="shared" si="4"/>
        <v>247328.55000000002</v>
      </c>
      <c r="N12" s="66"/>
    </row>
    <row r="13" spans="1:14" ht="16.5" thickBot="1">
      <c r="A13" s="65">
        <v>4</v>
      </c>
      <c r="B13" s="66" t="s">
        <v>201</v>
      </c>
      <c r="C13" s="66">
        <v>0.4</v>
      </c>
      <c r="D13" s="66">
        <v>11</v>
      </c>
      <c r="E13" s="66">
        <v>2.68</v>
      </c>
      <c r="F13" s="66">
        <v>13488.81</v>
      </c>
      <c r="G13" s="66">
        <v>1.4</v>
      </c>
      <c r="H13" s="66">
        <f t="shared" si="2"/>
        <v>1686.1012499999999</v>
      </c>
      <c r="I13" s="222">
        <f t="shared" si="3"/>
        <v>9104.9467499999992</v>
      </c>
      <c r="J13" s="223"/>
      <c r="K13" s="66">
        <f t="shared" si="0"/>
        <v>24279.858</v>
      </c>
      <c r="L13" s="66">
        <f t="shared" si="1"/>
        <v>9711.9431999999997</v>
      </c>
      <c r="M13" s="66">
        <f t="shared" si="4"/>
        <v>135967.20480000001</v>
      </c>
      <c r="N13" s="66"/>
    </row>
    <row r="14" spans="1:14" ht="16.5" thickBot="1">
      <c r="A14" s="65">
        <v>5</v>
      </c>
      <c r="B14" s="66" t="s">
        <v>205</v>
      </c>
      <c r="C14" s="66">
        <v>0.2</v>
      </c>
      <c r="D14" s="66">
        <v>9</v>
      </c>
      <c r="E14" s="66"/>
      <c r="F14" s="66">
        <v>11072.91</v>
      </c>
      <c r="G14" s="66"/>
      <c r="H14" s="66">
        <f t="shared" si="2"/>
        <v>1384.11375</v>
      </c>
      <c r="I14" s="222">
        <f t="shared" si="3"/>
        <v>7474.21425</v>
      </c>
      <c r="J14" s="223"/>
      <c r="K14" s="66">
        <f t="shared" si="0"/>
        <v>19931.238000000001</v>
      </c>
      <c r="L14" s="66">
        <f t="shared" si="1"/>
        <v>3986.2476000000006</v>
      </c>
      <c r="M14" s="66">
        <f t="shared" si="4"/>
        <v>55807.466400000005</v>
      </c>
      <c r="N14" s="66"/>
    </row>
    <row r="15" spans="1:14" ht="16.5" thickBot="1">
      <c r="A15" s="65">
        <v>6</v>
      </c>
      <c r="B15" s="66" t="s">
        <v>202</v>
      </c>
      <c r="C15" s="66">
        <v>0.2</v>
      </c>
      <c r="D15" s="66">
        <v>4</v>
      </c>
      <c r="E15" s="66">
        <v>1.36</v>
      </c>
      <c r="F15" s="66">
        <v>6845.07</v>
      </c>
      <c r="G15" s="66">
        <v>1.4</v>
      </c>
      <c r="H15" s="66">
        <f t="shared" si="2"/>
        <v>855.63374999999996</v>
      </c>
      <c r="I15" s="222">
        <f t="shared" si="3"/>
        <v>4620.4222499999996</v>
      </c>
      <c r="J15" s="223"/>
      <c r="K15" s="66">
        <f t="shared" si="0"/>
        <v>12321.126</v>
      </c>
      <c r="L15" s="66">
        <f t="shared" si="1"/>
        <v>2464.2252000000003</v>
      </c>
      <c r="M15" s="66">
        <f t="shared" si="4"/>
        <v>34499.152800000003</v>
      </c>
      <c r="N15" s="66"/>
    </row>
    <row r="16" spans="1:14" ht="63.75" thickBot="1">
      <c r="A16" s="65">
        <v>7</v>
      </c>
      <c r="B16" s="66" t="s">
        <v>203</v>
      </c>
      <c r="C16" s="66">
        <v>0.2</v>
      </c>
      <c r="D16" s="66">
        <v>4</v>
      </c>
      <c r="E16" s="66">
        <v>1.36</v>
      </c>
      <c r="F16" s="66">
        <v>6845.07</v>
      </c>
      <c r="G16" s="66">
        <v>1.4</v>
      </c>
      <c r="H16" s="66">
        <f t="shared" si="2"/>
        <v>855.63374999999996</v>
      </c>
      <c r="I16" s="222">
        <f t="shared" si="3"/>
        <v>4620.4222499999996</v>
      </c>
      <c r="J16" s="223"/>
      <c r="K16" s="66">
        <f t="shared" si="0"/>
        <v>12321.126</v>
      </c>
      <c r="L16" s="66">
        <f t="shared" si="1"/>
        <v>2464.2252000000003</v>
      </c>
      <c r="M16" s="66">
        <f t="shared" si="4"/>
        <v>34499.152800000003</v>
      </c>
      <c r="N16" s="66"/>
    </row>
    <row r="17" spans="1:14" ht="16.5" thickBot="1">
      <c r="A17" s="67"/>
      <c r="B17" s="68" t="s">
        <v>204</v>
      </c>
      <c r="C17" s="68">
        <f>C10+C11+C12+C13+C15+C16+C14</f>
        <v>3.0000000000000004</v>
      </c>
      <c r="D17" s="68"/>
      <c r="E17" s="68"/>
      <c r="F17" s="68"/>
      <c r="G17" s="68"/>
      <c r="H17" s="68"/>
      <c r="I17" s="226"/>
      <c r="J17" s="228"/>
      <c r="K17" s="68">
        <f>K10+K11+K12+K13+K15+K16</f>
        <v>160355.84399999998</v>
      </c>
      <c r="L17" s="68"/>
      <c r="M17" s="68">
        <f>M10+M11+M12+M13+M14+M15+M16</f>
        <v>1326188.1528</v>
      </c>
      <c r="N17" s="68"/>
    </row>
    <row r="18" spans="1:14" ht="18.75">
      <c r="A18" s="69"/>
    </row>
    <row r="19" spans="1:14" ht="18.75">
      <c r="A19" s="69"/>
      <c r="M19">
        <f>1326.188*0.302</f>
        <v>400.50877600000001</v>
      </c>
    </row>
    <row r="20" spans="1:14" ht="18.75">
      <c r="A20" s="70"/>
      <c r="M20">
        <f>M17+M19</f>
        <v>1326588.661576</v>
      </c>
    </row>
  </sheetData>
  <mergeCells count="23">
    <mergeCell ref="I13:J13"/>
    <mergeCell ref="I15:J15"/>
    <mergeCell ref="I16:J16"/>
    <mergeCell ref="I17:J17"/>
    <mergeCell ref="I14:J14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2:J12"/>
    <mergeCell ref="G6:G7"/>
    <mergeCell ref="H6:H7"/>
    <mergeCell ref="I6:I7"/>
    <mergeCell ref="J6:J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>
      <selection activeCell="A4" sqref="A4:E4"/>
    </sheetView>
  </sheetViews>
  <sheetFormatPr defaultRowHeight="15"/>
  <cols>
    <col min="1" max="1" width="5.85546875" style="182" customWidth="1"/>
    <col min="2" max="2" width="34.5703125" style="182" customWidth="1"/>
    <col min="3" max="3" width="13.85546875" style="182" customWidth="1"/>
    <col min="4" max="4" width="16.5703125" style="182" customWidth="1"/>
    <col min="5" max="5" width="16.7109375" style="182" customWidth="1"/>
    <col min="6" max="256" width="9.140625" style="182"/>
    <col min="257" max="257" width="5.85546875" style="182" customWidth="1"/>
    <col min="258" max="258" width="32.28515625" style="182" customWidth="1"/>
    <col min="259" max="259" width="16.7109375" style="182" customWidth="1"/>
    <col min="260" max="260" width="15" style="182" customWidth="1"/>
    <col min="261" max="261" width="18.28515625" style="182" customWidth="1"/>
    <col min="262" max="512" width="9.140625" style="182"/>
    <col min="513" max="513" width="5.85546875" style="182" customWidth="1"/>
    <col min="514" max="514" width="32.28515625" style="182" customWidth="1"/>
    <col min="515" max="515" width="16.7109375" style="182" customWidth="1"/>
    <col min="516" max="516" width="15" style="182" customWidth="1"/>
    <col min="517" max="517" width="18.28515625" style="182" customWidth="1"/>
    <col min="518" max="768" width="9.140625" style="182"/>
    <col min="769" max="769" width="5.85546875" style="182" customWidth="1"/>
    <col min="770" max="770" width="32.28515625" style="182" customWidth="1"/>
    <col min="771" max="771" width="16.7109375" style="182" customWidth="1"/>
    <col min="772" max="772" width="15" style="182" customWidth="1"/>
    <col min="773" max="773" width="18.28515625" style="182" customWidth="1"/>
    <col min="774" max="1024" width="9.140625" style="182"/>
    <col min="1025" max="1025" width="5.85546875" style="182" customWidth="1"/>
    <col min="1026" max="1026" width="32.28515625" style="182" customWidth="1"/>
    <col min="1027" max="1027" width="16.7109375" style="182" customWidth="1"/>
    <col min="1028" max="1028" width="15" style="182" customWidth="1"/>
    <col min="1029" max="1029" width="18.28515625" style="182" customWidth="1"/>
    <col min="1030" max="1280" width="9.140625" style="182"/>
    <col min="1281" max="1281" width="5.85546875" style="182" customWidth="1"/>
    <col min="1282" max="1282" width="32.28515625" style="182" customWidth="1"/>
    <col min="1283" max="1283" width="16.7109375" style="182" customWidth="1"/>
    <col min="1284" max="1284" width="15" style="182" customWidth="1"/>
    <col min="1285" max="1285" width="18.28515625" style="182" customWidth="1"/>
    <col min="1286" max="1536" width="9.140625" style="182"/>
    <col min="1537" max="1537" width="5.85546875" style="182" customWidth="1"/>
    <col min="1538" max="1538" width="32.28515625" style="182" customWidth="1"/>
    <col min="1539" max="1539" width="16.7109375" style="182" customWidth="1"/>
    <col min="1540" max="1540" width="15" style="182" customWidth="1"/>
    <col min="1541" max="1541" width="18.28515625" style="182" customWidth="1"/>
    <col min="1542" max="1792" width="9.140625" style="182"/>
    <col min="1793" max="1793" width="5.85546875" style="182" customWidth="1"/>
    <col min="1794" max="1794" width="32.28515625" style="182" customWidth="1"/>
    <col min="1795" max="1795" width="16.7109375" style="182" customWidth="1"/>
    <col min="1796" max="1796" width="15" style="182" customWidth="1"/>
    <col min="1797" max="1797" width="18.28515625" style="182" customWidth="1"/>
    <col min="1798" max="2048" width="9.140625" style="182"/>
    <col min="2049" max="2049" width="5.85546875" style="182" customWidth="1"/>
    <col min="2050" max="2050" width="32.28515625" style="182" customWidth="1"/>
    <col min="2051" max="2051" width="16.7109375" style="182" customWidth="1"/>
    <col min="2052" max="2052" width="15" style="182" customWidth="1"/>
    <col min="2053" max="2053" width="18.28515625" style="182" customWidth="1"/>
    <col min="2054" max="2304" width="9.140625" style="182"/>
    <col min="2305" max="2305" width="5.85546875" style="182" customWidth="1"/>
    <col min="2306" max="2306" width="32.28515625" style="182" customWidth="1"/>
    <col min="2307" max="2307" width="16.7109375" style="182" customWidth="1"/>
    <col min="2308" max="2308" width="15" style="182" customWidth="1"/>
    <col min="2309" max="2309" width="18.28515625" style="182" customWidth="1"/>
    <col min="2310" max="2560" width="9.140625" style="182"/>
    <col min="2561" max="2561" width="5.85546875" style="182" customWidth="1"/>
    <col min="2562" max="2562" width="32.28515625" style="182" customWidth="1"/>
    <col min="2563" max="2563" width="16.7109375" style="182" customWidth="1"/>
    <col min="2564" max="2564" width="15" style="182" customWidth="1"/>
    <col min="2565" max="2565" width="18.28515625" style="182" customWidth="1"/>
    <col min="2566" max="2816" width="9.140625" style="182"/>
    <col min="2817" max="2817" width="5.85546875" style="182" customWidth="1"/>
    <col min="2818" max="2818" width="32.28515625" style="182" customWidth="1"/>
    <col min="2819" max="2819" width="16.7109375" style="182" customWidth="1"/>
    <col min="2820" max="2820" width="15" style="182" customWidth="1"/>
    <col min="2821" max="2821" width="18.28515625" style="182" customWidth="1"/>
    <col min="2822" max="3072" width="9.140625" style="182"/>
    <col min="3073" max="3073" width="5.85546875" style="182" customWidth="1"/>
    <col min="3074" max="3074" width="32.28515625" style="182" customWidth="1"/>
    <col min="3075" max="3075" width="16.7109375" style="182" customWidth="1"/>
    <col min="3076" max="3076" width="15" style="182" customWidth="1"/>
    <col min="3077" max="3077" width="18.28515625" style="182" customWidth="1"/>
    <col min="3078" max="3328" width="9.140625" style="182"/>
    <col min="3329" max="3329" width="5.85546875" style="182" customWidth="1"/>
    <col min="3330" max="3330" width="32.28515625" style="182" customWidth="1"/>
    <col min="3331" max="3331" width="16.7109375" style="182" customWidth="1"/>
    <col min="3332" max="3332" width="15" style="182" customWidth="1"/>
    <col min="3333" max="3333" width="18.28515625" style="182" customWidth="1"/>
    <col min="3334" max="3584" width="9.140625" style="182"/>
    <col min="3585" max="3585" width="5.85546875" style="182" customWidth="1"/>
    <col min="3586" max="3586" width="32.28515625" style="182" customWidth="1"/>
    <col min="3587" max="3587" width="16.7109375" style="182" customWidth="1"/>
    <col min="3588" max="3588" width="15" style="182" customWidth="1"/>
    <col min="3589" max="3589" width="18.28515625" style="182" customWidth="1"/>
    <col min="3590" max="3840" width="9.140625" style="182"/>
    <col min="3841" max="3841" width="5.85546875" style="182" customWidth="1"/>
    <col min="3842" max="3842" width="32.28515625" style="182" customWidth="1"/>
    <col min="3843" max="3843" width="16.7109375" style="182" customWidth="1"/>
    <col min="3844" max="3844" width="15" style="182" customWidth="1"/>
    <col min="3845" max="3845" width="18.28515625" style="182" customWidth="1"/>
    <col min="3846" max="4096" width="9.140625" style="182"/>
    <col min="4097" max="4097" width="5.85546875" style="182" customWidth="1"/>
    <col min="4098" max="4098" width="32.28515625" style="182" customWidth="1"/>
    <col min="4099" max="4099" width="16.7109375" style="182" customWidth="1"/>
    <col min="4100" max="4100" width="15" style="182" customWidth="1"/>
    <col min="4101" max="4101" width="18.28515625" style="182" customWidth="1"/>
    <col min="4102" max="4352" width="9.140625" style="182"/>
    <col min="4353" max="4353" width="5.85546875" style="182" customWidth="1"/>
    <col min="4354" max="4354" width="32.28515625" style="182" customWidth="1"/>
    <col min="4355" max="4355" width="16.7109375" style="182" customWidth="1"/>
    <col min="4356" max="4356" width="15" style="182" customWidth="1"/>
    <col min="4357" max="4357" width="18.28515625" style="182" customWidth="1"/>
    <col min="4358" max="4608" width="9.140625" style="182"/>
    <col min="4609" max="4609" width="5.85546875" style="182" customWidth="1"/>
    <col min="4610" max="4610" width="32.28515625" style="182" customWidth="1"/>
    <col min="4611" max="4611" width="16.7109375" style="182" customWidth="1"/>
    <col min="4612" max="4612" width="15" style="182" customWidth="1"/>
    <col min="4613" max="4613" width="18.28515625" style="182" customWidth="1"/>
    <col min="4614" max="4864" width="9.140625" style="182"/>
    <col min="4865" max="4865" width="5.85546875" style="182" customWidth="1"/>
    <col min="4866" max="4866" width="32.28515625" style="182" customWidth="1"/>
    <col min="4867" max="4867" width="16.7109375" style="182" customWidth="1"/>
    <col min="4868" max="4868" width="15" style="182" customWidth="1"/>
    <col min="4869" max="4869" width="18.28515625" style="182" customWidth="1"/>
    <col min="4870" max="5120" width="9.140625" style="182"/>
    <col min="5121" max="5121" width="5.85546875" style="182" customWidth="1"/>
    <col min="5122" max="5122" width="32.28515625" style="182" customWidth="1"/>
    <col min="5123" max="5123" width="16.7109375" style="182" customWidth="1"/>
    <col min="5124" max="5124" width="15" style="182" customWidth="1"/>
    <col min="5125" max="5125" width="18.28515625" style="182" customWidth="1"/>
    <col min="5126" max="5376" width="9.140625" style="182"/>
    <col min="5377" max="5377" width="5.85546875" style="182" customWidth="1"/>
    <col min="5378" max="5378" width="32.28515625" style="182" customWidth="1"/>
    <col min="5379" max="5379" width="16.7109375" style="182" customWidth="1"/>
    <col min="5380" max="5380" width="15" style="182" customWidth="1"/>
    <col min="5381" max="5381" width="18.28515625" style="182" customWidth="1"/>
    <col min="5382" max="5632" width="9.140625" style="182"/>
    <col min="5633" max="5633" width="5.85546875" style="182" customWidth="1"/>
    <col min="5634" max="5634" width="32.28515625" style="182" customWidth="1"/>
    <col min="5635" max="5635" width="16.7109375" style="182" customWidth="1"/>
    <col min="5636" max="5636" width="15" style="182" customWidth="1"/>
    <col min="5637" max="5637" width="18.28515625" style="182" customWidth="1"/>
    <col min="5638" max="5888" width="9.140625" style="182"/>
    <col min="5889" max="5889" width="5.85546875" style="182" customWidth="1"/>
    <col min="5890" max="5890" width="32.28515625" style="182" customWidth="1"/>
    <col min="5891" max="5891" width="16.7109375" style="182" customWidth="1"/>
    <col min="5892" max="5892" width="15" style="182" customWidth="1"/>
    <col min="5893" max="5893" width="18.28515625" style="182" customWidth="1"/>
    <col min="5894" max="6144" width="9.140625" style="182"/>
    <col min="6145" max="6145" width="5.85546875" style="182" customWidth="1"/>
    <col min="6146" max="6146" width="32.28515625" style="182" customWidth="1"/>
    <col min="6147" max="6147" width="16.7109375" style="182" customWidth="1"/>
    <col min="6148" max="6148" width="15" style="182" customWidth="1"/>
    <col min="6149" max="6149" width="18.28515625" style="182" customWidth="1"/>
    <col min="6150" max="6400" width="9.140625" style="182"/>
    <col min="6401" max="6401" width="5.85546875" style="182" customWidth="1"/>
    <col min="6402" max="6402" width="32.28515625" style="182" customWidth="1"/>
    <col min="6403" max="6403" width="16.7109375" style="182" customWidth="1"/>
    <col min="6404" max="6404" width="15" style="182" customWidth="1"/>
    <col min="6405" max="6405" width="18.28515625" style="182" customWidth="1"/>
    <col min="6406" max="6656" width="9.140625" style="182"/>
    <col min="6657" max="6657" width="5.85546875" style="182" customWidth="1"/>
    <col min="6658" max="6658" width="32.28515625" style="182" customWidth="1"/>
    <col min="6659" max="6659" width="16.7109375" style="182" customWidth="1"/>
    <col min="6660" max="6660" width="15" style="182" customWidth="1"/>
    <col min="6661" max="6661" width="18.28515625" style="182" customWidth="1"/>
    <col min="6662" max="6912" width="9.140625" style="182"/>
    <col min="6913" max="6913" width="5.85546875" style="182" customWidth="1"/>
    <col min="6914" max="6914" width="32.28515625" style="182" customWidth="1"/>
    <col min="6915" max="6915" width="16.7109375" style="182" customWidth="1"/>
    <col min="6916" max="6916" width="15" style="182" customWidth="1"/>
    <col min="6917" max="6917" width="18.28515625" style="182" customWidth="1"/>
    <col min="6918" max="7168" width="9.140625" style="182"/>
    <col min="7169" max="7169" width="5.85546875" style="182" customWidth="1"/>
    <col min="7170" max="7170" width="32.28515625" style="182" customWidth="1"/>
    <col min="7171" max="7171" width="16.7109375" style="182" customWidth="1"/>
    <col min="7172" max="7172" width="15" style="182" customWidth="1"/>
    <col min="7173" max="7173" width="18.28515625" style="182" customWidth="1"/>
    <col min="7174" max="7424" width="9.140625" style="182"/>
    <col min="7425" max="7425" width="5.85546875" style="182" customWidth="1"/>
    <col min="7426" max="7426" width="32.28515625" style="182" customWidth="1"/>
    <col min="7427" max="7427" width="16.7109375" style="182" customWidth="1"/>
    <col min="7428" max="7428" width="15" style="182" customWidth="1"/>
    <col min="7429" max="7429" width="18.28515625" style="182" customWidth="1"/>
    <col min="7430" max="7680" width="9.140625" style="182"/>
    <col min="7681" max="7681" width="5.85546875" style="182" customWidth="1"/>
    <col min="7682" max="7682" width="32.28515625" style="182" customWidth="1"/>
    <col min="7683" max="7683" width="16.7109375" style="182" customWidth="1"/>
    <col min="7684" max="7684" width="15" style="182" customWidth="1"/>
    <col min="7685" max="7685" width="18.28515625" style="182" customWidth="1"/>
    <col min="7686" max="7936" width="9.140625" style="182"/>
    <col min="7937" max="7937" width="5.85546875" style="182" customWidth="1"/>
    <col min="7938" max="7938" width="32.28515625" style="182" customWidth="1"/>
    <col min="7939" max="7939" width="16.7109375" style="182" customWidth="1"/>
    <col min="7940" max="7940" width="15" style="182" customWidth="1"/>
    <col min="7941" max="7941" width="18.28515625" style="182" customWidth="1"/>
    <col min="7942" max="8192" width="9.140625" style="182"/>
    <col min="8193" max="8193" width="5.85546875" style="182" customWidth="1"/>
    <col min="8194" max="8194" width="32.28515625" style="182" customWidth="1"/>
    <col min="8195" max="8195" width="16.7109375" style="182" customWidth="1"/>
    <col min="8196" max="8196" width="15" style="182" customWidth="1"/>
    <col min="8197" max="8197" width="18.28515625" style="182" customWidth="1"/>
    <col min="8198" max="8448" width="9.140625" style="182"/>
    <col min="8449" max="8449" width="5.85546875" style="182" customWidth="1"/>
    <col min="8450" max="8450" width="32.28515625" style="182" customWidth="1"/>
    <col min="8451" max="8451" width="16.7109375" style="182" customWidth="1"/>
    <col min="8452" max="8452" width="15" style="182" customWidth="1"/>
    <col min="8453" max="8453" width="18.28515625" style="182" customWidth="1"/>
    <col min="8454" max="8704" width="9.140625" style="182"/>
    <col min="8705" max="8705" width="5.85546875" style="182" customWidth="1"/>
    <col min="8706" max="8706" width="32.28515625" style="182" customWidth="1"/>
    <col min="8707" max="8707" width="16.7109375" style="182" customWidth="1"/>
    <col min="8708" max="8708" width="15" style="182" customWidth="1"/>
    <col min="8709" max="8709" width="18.28515625" style="182" customWidth="1"/>
    <col min="8710" max="8960" width="9.140625" style="182"/>
    <col min="8961" max="8961" width="5.85546875" style="182" customWidth="1"/>
    <col min="8962" max="8962" width="32.28515625" style="182" customWidth="1"/>
    <col min="8963" max="8963" width="16.7109375" style="182" customWidth="1"/>
    <col min="8964" max="8964" width="15" style="182" customWidth="1"/>
    <col min="8965" max="8965" width="18.28515625" style="182" customWidth="1"/>
    <col min="8966" max="9216" width="9.140625" style="182"/>
    <col min="9217" max="9217" width="5.85546875" style="182" customWidth="1"/>
    <col min="9218" max="9218" width="32.28515625" style="182" customWidth="1"/>
    <col min="9219" max="9219" width="16.7109375" style="182" customWidth="1"/>
    <col min="9220" max="9220" width="15" style="182" customWidth="1"/>
    <col min="9221" max="9221" width="18.28515625" style="182" customWidth="1"/>
    <col min="9222" max="9472" width="9.140625" style="182"/>
    <col min="9473" max="9473" width="5.85546875" style="182" customWidth="1"/>
    <col min="9474" max="9474" width="32.28515625" style="182" customWidth="1"/>
    <col min="9475" max="9475" width="16.7109375" style="182" customWidth="1"/>
    <col min="9476" max="9476" width="15" style="182" customWidth="1"/>
    <col min="9477" max="9477" width="18.28515625" style="182" customWidth="1"/>
    <col min="9478" max="9728" width="9.140625" style="182"/>
    <col min="9729" max="9729" width="5.85546875" style="182" customWidth="1"/>
    <col min="9730" max="9730" width="32.28515625" style="182" customWidth="1"/>
    <col min="9731" max="9731" width="16.7109375" style="182" customWidth="1"/>
    <col min="9732" max="9732" width="15" style="182" customWidth="1"/>
    <col min="9733" max="9733" width="18.28515625" style="182" customWidth="1"/>
    <col min="9734" max="9984" width="9.140625" style="182"/>
    <col min="9985" max="9985" width="5.85546875" style="182" customWidth="1"/>
    <col min="9986" max="9986" width="32.28515625" style="182" customWidth="1"/>
    <col min="9987" max="9987" width="16.7109375" style="182" customWidth="1"/>
    <col min="9988" max="9988" width="15" style="182" customWidth="1"/>
    <col min="9989" max="9989" width="18.28515625" style="182" customWidth="1"/>
    <col min="9990" max="10240" width="9.140625" style="182"/>
    <col min="10241" max="10241" width="5.85546875" style="182" customWidth="1"/>
    <col min="10242" max="10242" width="32.28515625" style="182" customWidth="1"/>
    <col min="10243" max="10243" width="16.7109375" style="182" customWidth="1"/>
    <col min="10244" max="10244" width="15" style="182" customWidth="1"/>
    <col min="10245" max="10245" width="18.28515625" style="182" customWidth="1"/>
    <col min="10246" max="10496" width="9.140625" style="182"/>
    <col min="10497" max="10497" width="5.85546875" style="182" customWidth="1"/>
    <col min="10498" max="10498" width="32.28515625" style="182" customWidth="1"/>
    <col min="10499" max="10499" width="16.7109375" style="182" customWidth="1"/>
    <col min="10500" max="10500" width="15" style="182" customWidth="1"/>
    <col min="10501" max="10501" width="18.28515625" style="182" customWidth="1"/>
    <col min="10502" max="10752" width="9.140625" style="182"/>
    <col min="10753" max="10753" width="5.85546875" style="182" customWidth="1"/>
    <col min="10754" max="10754" width="32.28515625" style="182" customWidth="1"/>
    <col min="10755" max="10755" width="16.7109375" style="182" customWidth="1"/>
    <col min="10756" max="10756" width="15" style="182" customWidth="1"/>
    <col min="10757" max="10757" width="18.28515625" style="182" customWidth="1"/>
    <col min="10758" max="11008" width="9.140625" style="182"/>
    <col min="11009" max="11009" width="5.85546875" style="182" customWidth="1"/>
    <col min="11010" max="11010" width="32.28515625" style="182" customWidth="1"/>
    <col min="11011" max="11011" width="16.7109375" style="182" customWidth="1"/>
    <col min="11012" max="11012" width="15" style="182" customWidth="1"/>
    <col min="11013" max="11013" width="18.28515625" style="182" customWidth="1"/>
    <col min="11014" max="11264" width="9.140625" style="182"/>
    <col min="11265" max="11265" width="5.85546875" style="182" customWidth="1"/>
    <col min="11266" max="11266" width="32.28515625" style="182" customWidth="1"/>
    <col min="11267" max="11267" width="16.7109375" style="182" customWidth="1"/>
    <col min="11268" max="11268" width="15" style="182" customWidth="1"/>
    <col min="11269" max="11269" width="18.28515625" style="182" customWidth="1"/>
    <col min="11270" max="11520" width="9.140625" style="182"/>
    <col min="11521" max="11521" width="5.85546875" style="182" customWidth="1"/>
    <col min="11522" max="11522" width="32.28515625" style="182" customWidth="1"/>
    <col min="11523" max="11523" width="16.7109375" style="182" customWidth="1"/>
    <col min="11524" max="11524" width="15" style="182" customWidth="1"/>
    <col min="11525" max="11525" width="18.28515625" style="182" customWidth="1"/>
    <col min="11526" max="11776" width="9.140625" style="182"/>
    <col min="11777" max="11777" width="5.85546875" style="182" customWidth="1"/>
    <col min="11778" max="11778" width="32.28515625" style="182" customWidth="1"/>
    <col min="11779" max="11779" width="16.7109375" style="182" customWidth="1"/>
    <col min="11780" max="11780" width="15" style="182" customWidth="1"/>
    <col min="11781" max="11781" width="18.28515625" style="182" customWidth="1"/>
    <col min="11782" max="12032" width="9.140625" style="182"/>
    <col min="12033" max="12033" width="5.85546875" style="182" customWidth="1"/>
    <col min="12034" max="12034" width="32.28515625" style="182" customWidth="1"/>
    <col min="12035" max="12035" width="16.7109375" style="182" customWidth="1"/>
    <col min="12036" max="12036" width="15" style="182" customWidth="1"/>
    <col min="12037" max="12037" width="18.28515625" style="182" customWidth="1"/>
    <col min="12038" max="12288" width="9.140625" style="182"/>
    <col min="12289" max="12289" width="5.85546875" style="182" customWidth="1"/>
    <col min="12290" max="12290" width="32.28515625" style="182" customWidth="1"/>
    <col min="12291" max="12291" width="16.7109375" style="182" customWidth="1"/>
    <col min="12292" max="12292" width="15" style="182" customWidth="1"/>
    <col min="12293" max="12293" width="18.28515625" style="182" customWidth="1"/>
    <col min="12294" max="12544" width="9.140625" style="182"/>
    <col min="12545" max="12545" width="5.85546875" style="182" customWidth="1"/>
    <col min="12546" max="12546" width="32.28515625" style="182" customWidth="1"/>
    <col min="12547" max="12547" width="16.7109375" style="182" customWidth="1"/>
    <col min="12548" max="12548" width="15" style="182" customWidth="1"/>
    <col min="12549" max="12549" width="18.28515625" style="182" customWidth="1"/>
    <col min="12550" max="12800" width="9.140625" style="182"/>
    <col min="12801" max="12801" width="5.85546875" style="182" customWidth="1"/>
    <col min="12802" max="12802" width="32.28515625" style="182" customWidth="1"/>
    <col min="12803" max="12803" width="16.7109375" style="182" customWidth="1"/>
    <col min="12804" max="12804" width="15" style="182" customWidth="1"/>
    <col min="12805" max="12805" width="18.28515625" style="182" customWidth="1"/>
    <col min="12806" max="13056" width="9.140625" style="182"/>
    <col min="13057" max="13057" width="5.85546875" style="182" customWidth="1"/>
    <col min="13058" max="13058" width="32.28515625" style="182" customWidth="1"/>
    <col min="13059" max="13059" width="16.7109375" style="182" customWidth="1"/>
    <col min="13060" max="13060" width="15" style="182" customWidth="1"/>
    <col min="13061" max="13061" width="18.28515625" style="182" customWidth="1"/>
    <col min="13062" max="13312" width="9.140625" style="182"/>
    <col min="13313" max="13313" width="5.85546875" style="182" customWidth="1"/>
    <col min="13314" max="13314" width="32.28515625" style="182" customWidth="1"/>
    <col min="13315" max="13315" width="16.7109375" style="182" customWidth="1"/>
    <col min="13316" max="13316" width="15" style="182" customWidth="1"/>
    <col min="13317" max="13317" width="18.28515625" style="182" customWidth="1"/>
    <col min="13318" max="13568" width="9.140625" style="182"/>
    <col min="13569" max="13569" width="5.85546875" style="182" customWidth="1"/>
    <col min="13570" max="13570" width="32.28515625" style="182" customWidth="1"/>
    <col min="13571" max="13571" width="16.7109375" style="182" customWidth="1"/>
    <col min="13572" max="13572" width="15" style="182" customWidth="1"/>
    <col min="13573" max="13573" width="18.28515625" style="182" customWidth="1"/>
    <col min="13574" max="13824" width="9.140625" style="182"/>
    <col min="13825" max="13825" width="5.85546875" style="182" customWidth="1"/>
    <col min="13826" max="13826" width="32.28515625" style="182" customWidth="1"/>
    <col min="13827" max="13827" width="16.7109375" style="182" customWidth="1"/>
    <col min="13828" max="13828" width="15" style="182" customWidth="1"/>
    <col min="13829" max="13829" width="18.28515625" style="182" customWidth="1"/>
    <col min="13830" max="14080" width="9.140625" style="182"/>
    <col min="14081" max="14081" width="5.85546875" style="182" customWidth="1"/>
    <col min="14082" max="14082" width="32.28515625" style="182" customWidth="1"/>
    <col min="14083" max="14083" width="16.7109375" style="182" customWidth="1"/>
    <col min="14084" max="14084" width="15" style="182" customWidth="1"/>
    <col min="14085" max="14085" width="18.28515625" style="182" customWidth="1"/>
    <col min="14086" max="14336" width="9.140625" style="182"/>
    <col min="14337" max="14337" width="5.85546875" style="182" customWidth="1"/>
    <col min="14338" max="14338" width="32.28515625" style="182" customWidth="1"/>
    <col min="14339" max="14339" width="16.7109375" style="182" customWidth="1"/>
    <col min="14340" max="14340" width="15" style="182" customWidth="1"/>
    <col min="14341" max="14341" width="18.28515625" style="182" customWidth="1"/>
    <col min="14342" max="14592" width="9.140625" style="182"/>
    <col min="14593" max="14593" width="5.85546875" style="182" customWidth="1"/>
    <col min="14594" max="14594" width="32.28515625" style="182" customWidth="1"/>
    <col min="14595" max="14595" width="16.7109375" style="182" customWidth="1"/>
    <col min="14596" max="14596" width="15" style="182" customWidth="1"/>
    <col min="14597" max="14597" width="18.28515625" style="182" customWidth="1"/>
    <col min="14598" max="14848" width="9.140625" style="182"/>
    <col min="14849" max="14849" width="5.85546875" style="182" customWidth="1"/>
    <col min="14850" max="14850" width="32.28515625" style="182" customWidth="1"/>
    <col min="14851" max="14851" width="16.7109375" style="182" customWidth="1"/>
    <col min="14852" max="14852" width="15" style="182" customWidth="1"/>
    <col min="14853" max="14853" width="18.28515625" style="182" customWidth="1"/>
    <col min="14854" max="15104" width="9.140625" style="182"/>
    <col min="15105" max="15105" width="5.85546875" style="182" customWidth="1"/>
    <col min="15106" max="15106" width="32.28515625" style="182" customWidth="1"/>
    <col min="15107" max="15107" width="16.7109375" style="182" customWidth="1"/>
    <col min="15108" max="15108" width="15" style="182" customWidth="1"/>
    <col min="15109" max="15109" width="18.28515625" style="182" customWidth="1"/>
    <col min="15110" max="15360" width="9.140625" style="182"/>
    <col min="15361" max="15361" width="5.85546875" style="182" customWidth="1"/>
    <col min="15362" max="15362" width="32.28515625" style="182" customWidth="1"/>
    <col min="15363" max="15363" width="16.7109375" style="182" customWidth="1"/>
    <col min="15364" max="15364" width="15" style="182" customWidth="1"/>
    <col min="15365" max="15365" width="18.28515625" style="182" customWidth="1"/>
    <col min="15366" max="15616" width="9.140625" style="182"/>
    <col min="15617" max="15617" width="5.85546875" style="182" customWidth="1"/>
    <col min="15618" max="15618" width="32.28515625" style="182" customWidth="1"/>
    <col min="15619" max="15619" width="16.7109375" style="182" customWidth="1"/>
    <col min="15620" max="15620" width="15" style="182" customWidth="1"/>
    <col min="15621" max="15621" width="18.28515625" style="182" customWidth="1"/>
    <col min="15622" max="15872" width="9.140625" style="182"/>
    <col min="15873" max="15873" width="5.85546875" style="182" customWidth="1"/>
    <col min="15874" max="15874" width="32.28515625" style="182" customWidth="1"/>
    <col min="15875" max="15875" width="16.7109375" style="182" customWidth="1"/>
    <col min="15876" max="15876" width="15" style="182" customWidth="1"/>
    <col min="15877" max="15877" width="18.28515625" style="182" customWidth="1"/>
    <col min="15878" max="16128" width="9.140625" style="182"/>
    <col min="16129" max="16129" width="5.85546875" style="182" customWidth="1"/>
    <col min="16130" max="16130" width="32.28515625" style="182" customWidth="1"/>
    <col min="16131" max="16131" width="16.7109375" style="182" customWidth="1"/>
    <col min="16132" max="16132" width="15" style="182" customWidth="1"/>
    <col min="16133" max="16133" width="18.28515625" style="182" customWidth="1"/>
    <col min="16134" max="16384" width="9.140625" style="182"/>
  </cols>
  <sheetData>
    <row r="1" spans="1:6" ht="36" customHeight="1">
      <c r="C1" s="210" t="s">
        <v>298</v>
      </c>
      <c r="D1" s="210"/>
      <c r="E1" s="210"/>
      <c r="F1" s="107"/>
    </row>
    <row r="2" spans="1:6" ht="24.75" customHeight="1">
      <c r="C2" s="240"/>
      <c r="D2" s="240"/>
      <c r="E2" s="240"/>
    </row>
    <row r="3" spans="1:6" ht="20.25" customHeight="1">
      <c r="A3" s="241" t="s">
        <v>299</v>
      </c>
      <c r="B3" s="241"/>
      <c r="C3" s="241"/>
      <c r="D3" s="241"/>
      <c r="E3" s="241"/>
    </row>
    <row r="4" spans="1:6" ht="17.25" customHeight="1">
      <c r="A4" s="197" t="s">
        <v>300</v>
      </c>
      <c r="B4" s="197"/>
      <c r="C4" s="197"/>
      <c r="D4" s="197"/>
      <c r="E4" s="197"/>
    </row>
    <row r="5" spans="1:6" ht="20.25" customHeight="1">
      <c r="A5" s="197" t="s">
        <v>295</v>
      </c>
      <c r="B5" s="197"/>
      <c r="C5" s="197"/>
      <c r="D5" s="197"/>
      <c r="E5" s="197"/>
    </row>
    <row r="6" spans="1:6" ht="25.5" customHeight="1">
      <c r="A6" s="239"/>
      <c r="B6" s="239"/>
      <c r="C6" s="239"/>
      <c r="D6" s="239"/>
      <c r="E6" s="239"/>
    </row>
    <row r="7" spans="1:6" s="183" customFormat="1" ht="18.75" customHeight="1">
      <c r="A7" s="231" t="s">
        <v>140</v>
      </c>
      <c r="B7" s="231" t="s">
        <v>277</v>
      </c>
      <c r="C7" s="231" t="s">
        <v>168</v>
      </c>
      <c r="D7" s="233" t="s">
        <v>278</v>
      </c>
      <c r="E7" s="234"/>
    </row>
    <row r="8" spans="1:6" s="183" customFormat="1" ht="78" customHeight="1">
      <c r="A8" s="232"/>
      <c r="B8" s="232"/>
      <c r="C8" s="232"/>
      <c r="D8" s="184" t="s">
        <v>279</v>
      </c>
      <c r="E8" s="184" t="s">
        <v>280</v>
      </c>
    </row>
    <row r="9" spans="1:6" s="183" customFormat="1" ht="18.75">
      <c r="A9" s="184">
        <v>1</v>
      </c>
      <c r="B9" s="184">
        <v>2</v>
      </c>
      <c r="C9" s="184">
        <v>3</v>
      </c>
      <c r="D9" s="184">
        <v>4</v>
      </c>
      <c r="E9" s="184">
        <v>5</v>
      </c>
    </row>
    <row r="10" spans="1:6" s="183" customFormat="1" ht="21.75" customHeight="1">
      <c r="A10" s="184">
        <v>1</v>
      </c>
      <c r="B10" s="236" t="s">
        <v>301</v>
      </c>
      <c r="C10" s="237"/>
      <c r="D10" s="237"/>
      <c r="E10" s="238"/>
    </row>
    <row r="11" spans="1:6" s="183" customFormat="1" ht="58.5" customHeight="1">
      <c r="A11" s="184" t="s">
        <v>2</v>
      </c>
      <c r="B11" s="185" t="s">
        <v>281</v>
      </c>
      <c r="C11" s="184" t="s">
        <v>282</v>
      </c>
      <c r="D11" s="186">
        <v>3.9</v>
      </c>
      <c r="E11" s="186">
        <v>4.1100000000000003</v>
      </c>
    </row>
    <row r="13" spans="1:6" ht="63" customHeight="1">
      <c r="A13" s="235" t="s">
        <v>283</v>
      </c>
      <c r="B13" s="235"/>
      <c r="C13" s="235"/>
      <c r="D13" s="235"/>
      <c r="E13" s="235"/>
    </row>
    <row r="15" spans="1:6" ht="15" hidden="1" customHeight="1"/>
    <row r="16" spans="1:6" ht="15" hidden="1" customHeight="1"/>
    <row r="17" ht="15" hidden="1" customHeight="1"/>
    <row r="18" ht="15" hidden="1" customHeight="1"/>
  </sheetData>
  <mergeCells count="12">
    <mergeCell ref="A6:E6"/>
    <mergeCell ref="C1:E1"/>
    <mergeCell ref="C2:E2"/>
    <mergeCell ref="A3:E3"/>
    <mergeCell ref="A4:E4"/>
    <mergeCell ref="A5:E5"/>
    <mergeCell ref="A7:A8"/>
    <mergeCell ref="B7:B8"/>
    <mergeCell ref="C7:C8"/>
    <mergeCell ref="D7:E7"/>
    <mergeCell ref="A13:E13"/>
    <mergeCell ref="B10:E10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ФОТ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ФОТ АУП</vt:lpstr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Doos</cp:lastModifiedBy>
  <cp:lastPrinted>2014-01-21T03:56:42Z</cp:lastPrinted>
  <dcterms:created xsi:type="dcterms:W3CDTF">2013-07-04T03:05:04Z</dcterms:created>
  <dcterms:modified xsi:type="dcterms:W3CDTF">2014-03-25T07:16:55Z</dcterms:modified>
</cp:coreProperties>
</file>